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1.xml" ContentType="application/vnd.openxmlformats-officedocument.spreadsheetml.worksheet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xl/worksheets/sheet16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2.xml" ContentType="application/vnd.openxmlformats-officedocument.spreadsheetml.worksheet+xml"/>
  <Override PartName="/xl/worksheets/sheet15.xml" ContentType="application/vnd.openxmlformats-officedocument.spreadsheetml.worksheet+xml"/>
  <Override PartName="/xl/worksheets/sheet8.xml" ContentType="application/vnd.openxmlformats-officedocument.spreadsheetml.worksheet+xml"/>
  <Override PartName="/xl/worksheets/sheet4.xml" ContentType="application/vnd.openxmlformats-officedocument.spreadsheetml.worksheet+xml"/>
  <Override PartName="/xl/worksheets/sheet7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7.xml" ContentType="application/vnd.openxmlformats-officedocument.spreadsheetml.worksheet+xml"/>
  <Override PartName="/xl/worksheets/sheet9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olors1.xml" ContentType="application/vnd.ms-office.chartcolorstyle+xml"/>
  <Override PartName="/xl/charts/style2.xml" ContentType="application/vnd.ms-office.chartstyle+xml"/>
  <Override PartName="/xl/charts/colors4.xml" ContentType="application/vnd.ms-office.chartcolorstyle+xml"/>
  <Override PartName="/xl/charts/chart3.xml" ContentType="application/vnd.openxmlformats-officedocument.drawingml.chart+xml"/>
  <Override PartName="/xl/charts/chart2.xml" ContentType="application/vnd.openxmlformats-officedocument.drawingml.chart+xml"/>
  <Override PartName="/xl/charts/colors2.xml" ContentType="application/vnd.ms-office.chartcolorstyle+xml"/>
  <Override PartName="/xl/charts/style3.xml" ContentType="application/vnd.ms-office.chartstyle+xml"/>
  <Override PartName="/xl/charts/chart4.xml" ContentType="application/vnd.openxmlformats-officedocument.drawingml.chart+xml"/>
  <Override PartName="/xl/charts/style1.xml" ContentType="application/vnd.ms-office.chartstyle+xml"/>
  <Override PartName="/xl/charts/colors3.xml" ContentType="application/vnd.ms-office.chartcolorstyle+xml"/>
  <Override PartName="/xl/charts/chart1.xml" ContentType="application/vnd.openxmlformats-officedocument.drawingml.chart+xml"/>
  <Override PartName="/xl/charts/style4.xml" ContentType="application/vnd.ms-office.chartsty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01_Cover" sheetId="1" state="visible" r:id="rId3"/>
    <sheet name="02_Assumptions" sheetId="2" state="visible" r:id="rId4"/>
    <sheet name="03_Revenue" sheetId="3" state="visible" r:id="rId5"/>
    <sheet name="04_CAPEX" sheetId="4" state="visible" r:id="rId6"/>
    <sheet name="05_OPEX" sheetId="5" state="visible" r:id="rId7"/>
    <sheet name="06_Debt" sheetId="6" state="visible" r:id="rId8"/>
    <sheet name="07_PnL" sheetId="7" state="visible" r:id="rId9"/>
    <sheet name="08_CashFlow" sheetId="8" state="visible" r:id="rId10"/>
    <sheet name="09_BalanceSheet" sheetId="9" state="visible" r:id="rId11"/>
    <sheet name="10_Returns" sheetId="10" state="visible" r:id="rId12"/>
    <sheet name="11_Sensitivity" sheetId="11" state="visible" r:id="rId13"/>
    <sheet name="12_Scenarios" sheetId="12" state="visible" r:id="rId14"/>
    <sheet name="13_TaxDetail" sheetId="13" state="visible" r:id="rId15"/>
    <sheet name="14_Family_LRM" sheetId="14" state="visible" r:id="rId16"/>
    <sheet name="15_Charts" sheetId="15" state="visible" r:id="rId17"/>
    <sheet name="16_DataSources" sheetId="16" state="visible" r:id="rId18"/>
    <sheet name="17_MonteCarlo" sheetId="17" state="visible" r:id="rId19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<sst xmlns="http://schemas.openxmlformats.org/spreadsheetml/2006/main" count="1643" uniqueCount="978">
  <si>
    <t xml:space="preserve">AETHERION</t>
  </si>
  <si>
    <t xml:space="preserve">FINANCIAL MODEL</t>
  </si>
  <si>
    <t xml:space="preserve">ENERGY</t>
  </si>
  <si>
    <t xml:space="preserve">v4.0 · Institutional Edition · May 2026</t>
  </si>
  <si>
    <t xml:space="preserve">Tocantins Green Energy &amp; Datacenter Campus</t>
  </si>
  <si>
    <t xml:space="preserve">2 GWac Solar  ·  200 MW × 4h BESS  ·  300-400 MW IT 24/7 CFE Datacenter  ·  50 MW H₂V</t>
  </si>
  <si>
    <t xml:space="preserve">EXECUTIVE DASHBOARD</t>
  </si>
  <si>
    <t xml:space="preserve">Total CAPEX</t>
  </si>
  <si>
    <t xml:space="preserve">Unlevered IRR (P50)</t>
  </si>
  <si>
    <t xml:space="preserve">Equity IRR (P50)</t>
  </si>
  <si>
    <t xml:space="preserve">DSCR avg</t>
  </si>
  <si>
    <t xml:space="preserve">LCOE blended</t>
  </si>
  <si>
    <t xml:space="preserve">NPV equity @ 10%</t>
  </si>
  <si>
    <t xml:space="preserve">PROJECT SPECIFICATIONS</t>
  </si>
  <si>
    <t xml:space="preserve">Solar nameplate AC</t>
  </si>
  <si>
    <t xml:space="preserve">Solar nameplate DC</t>
  </si>
  <si>
    <t xml:space="preserve">BESS power</t>
  </si>
  <si>
    <t xml:space="preserve">BESS energy</t>
  </si>
  <si>
    <t xml:space="preserve">Datacenter IT load</t>
  </si>
  <si>
    <t xml:space="preserve">H₂V electrolyzer</t>
  </si>
  <si>
    <t xml:space="preserve">Total land</t>
  </si>
  <si>
    <t xml:space="preserve">Usable area (AA+ARD)</t>
  </si>
  <si>
    <t xml:space="preserve">Capacity factor P50</t>
  </si>
  <si>
    <t xml:space="preserve">Construction period</t>
  </si>
  <si>
    <t xml:space="preserve">Operating life</t>
  </si>
  <si>
    <t xml:space="preserve">Currency base</t>
  </si>
  <si>
    <t xml:space="preserve">"USD"</t>
  </si>
  <si>
    <t xml:space="preserve">WORKBOOK INDEX</t>
  </si>
  <si>
    <t xml:space="preserve">01</t>
  </si>
  <si>
    <t xml:space="preserve">Cover &amp; Dashboard</t>
  </si>
  <si>
    <t xml:space="preserve">this sheet · executive view</t>
  </si>
  <si>
    <t xml:space="preserve">02</t>
  </si>
  <si>
    <t xml:space="preserve">Assumptions</t>
  </si>
  <si>
    <t xml:space="preserve">all input parameters (engineering, financial, fiscal, commercial)</t>
  </si>
  <si>
    <t xml:space="preserve">03</t>
  </si>
  <si>
    <t xml:space="preserve">Revenue Build</t>
  </si>
  <si>
    <t xml:space="preserve">solar PPA + 24/7 CFE + BESS arbitrage + i-RECs + H₂V</t>
  </si>
  <si>
    <t xml:space="preserve">04</t>
  </si>
  <si>
    <t xml:space="preserve">CAPEX Schedule</t>
  </si>
  <si>
    <t xml:space="preserve">5-year build · 9 cost categories · phased disbursement</t>
  </si>
  <si>
    <t xml:space="preserve">05</t>
  </si>
  <si>
    <t xml:space="preserve">OPEX Schedule</t>
  </si>
  <si>
    <t xml:space="preserve">O&amp;M (fixed + variable), insurance, land lease, fiscal</t>
  </si>
  <si>
    <t xml:space="preserve">06</t>
  </si>
  <si>
    <t xml:space="preserve">Debt Waterfall</t>
  </si>
  <si>
    <t xml:space="preserve">BNDES BRL + IDB USD + commercial · cascata ano-a-ano</t>
  </si>
  <si>
    <t xml:space="preserve">07</t>
  </si>
  <si>
    <t xml:space="preserve">P&amp;L Statement</t>
  </si>
  <si>
    <t xml:space="preserve">30-year operating P&amp;L · taxes detail</t>
  </si>
  <si>
    <t xml:space="preserve">08</t>
  </si>
  <si>
    <t xml:space="preserve">Cash Flow</t>
  </si>
  <si>
    <t xml:space="preserve">operating + investing + financing cash flows</t>
  </si>
  <si>
    <t xml:space="preserve">09</t>
  </si>
  <si>
    <t xml:space="preserve">Balance Sheet</t>
  </si>
  <si>
    <t xml:space="preserve">assets / liabilities / equity per year</t>
  </si>
  <si>
    <t xml:space="preserve">10</t>
  </si>
  <si>
    <t xml:space="preserve">Returns</t>
  </si>
  <si>
    <t xml:space="preserve">IRR, NPV, DSCR, LCOE, equity multiple, payback</t>
  </si>
  <si>
    <t xml:space="preserve">11</t>
  </si>
  <si>
    <t xml:space="preserve">Sensitivity</t>
  </si>
  <si>
    <t xml:space="preserve">tornado diagram + 2-var tables</t>
  </si>
  <si>
    <t xml:space="preserve">12</t>
  </si>
  <si>
    <t xml:space="preserve">Scenarios</t>
  </si>
  <si>
    <t xml:space="preserve">P10 / P50 / P90 + Model A/B/C decisions</t>
  </si>
  <si>
    <t xml:space="preserve">13</t>
  </si>
  <si>
    <t xml:space="preserve">Tax Detail</t>
  </si>
  <si>
    <t xml:space="preserve">SUDAM, REIDI, IRPJ, CSLL, PIS, COFINS, ICMS, ISS</t>
  </si>
  <si>
    <t xml:space="preserve">14</t>
  </si>
  <si>
    <t xml:space="preserve">Family LR&amp;M</t>
  </si>
  <si>
    <t xml:space="preserve">LandCo lease, royalty schedule, family yield curve</t>
  </si>
  <si>
    <t xml:space="preserve">15</t>
  </si>
  <si>
    <t xml:space="preserve">Charts</t>
  </si>
  <si>
    <t xml:space="preserve">embedded visualizations</t>
  </si>
  <si>
    <t xml:space="preserve">16</t>
  </si>
  <si>
    <t xml:space="preserve">Data Sources</t>
  </si>
  <si>
    <t xml:space="preserve">full reference table · auditable trails</t>
  </si>
  <si>
    <t xml:space="preserve">AETHERION Energy · Confidential · For institutional investors only · Pre-FID estimates · ±15% precision</t>
  </si>
  <si>
    <t xml:space="preserve">Assumptions · Master Input Sheet</t>
  </si>
  <si>
    <t xml:space="preserve">All blue cells are user inputs · all data tied to '16_DataSources' references</t>
  </si>
  <si>
    <t xml:space="preserve">1. SITE &amp; ASSET</t>
  </si>
  <si>
    <t xml:space="preserve">Parameter</t>
  </si>
  <si>
    <t xml:space="preserve">Sub-category / Notes</t>
  </si>
  <si>
    <t xml:space="preserve">Phase 1A</t>
  </si>
  <si>
    <t xml:space="preserve">Phase 1B+2</t>
  </si>
  <si>
    <t xml:space="preserve">Total/Avg</t>
  </si>
  <si>
    <t xml:space="preserve">Source ref</t>
  </si>
  <si>
    <t xml:space="preserve">Total APR area</t>
  </si>
  <si>
    <t xml:space="preserve">Single matrícula 082484</t>
  </si>
  <si>
    <t xml:space="preserve">SIGAM-TO 2024/40319/082484</t>
  </si>
  <si>
    <t xml:space="preserve">Usable area (AA + ARD)</t>
  </si>
  <si>
    <t xml:space="preserve">Direct + reserve direct use</t>
  </si>
  <si>
    <t xml:space="preserve">Carta SIGAM-TO · pixel analysis</t>
  </si>
  <si>
    <t xml:space="preserve">2. PV PLANT</t>
  </si>
  <si>
    <t xml:space="preserve">PV nameplate AC</t>
  </si>
  <si>
    <t xml:space="preserve">MWac · Phase 1A vs 1B+2</t>
  </si>
  <si>
    <t xml:space="preserve">BloombergNEF + Lazard</t>
  </si>
  <si>
    <t xml:space="preserve">PV nameplate DC</t>
  </si>
  <si>
    <t xml:space="preserve">MWp · DC/AC ratio 1.32</t>
  </si>
  <si>
    <t xml:space="preserve">DC/AC ratio 1.32 oversizing</t>
  </si>
  <si>
    <t xml:space="preserve">% net AC</t>
  </si>
  <si>
    <t xml:space="preserve">Source: 16_DataSources!E8 · NASA POWER</t>
  </si>
  <si>
    <t xml:space="preserve">DC/AC ratio</t>
  </si>
  <si>
    <t xml:space="preserve">Oversizing factor</t>
  </si>
  <si>
    <t xml:space="preserve">Industry standard 1.30-1.40</t>
  </si>
  <si>
    <t xml:space="preserve">Energy yield year 1</t>
  </si>
  <si>
    <t xml:space="preserve">MWh/y</t>
  </si>
  <si>
    <t xml:space="preserve">Calc: Pac × 8760h × CF</t>
  </si>
  <si>
    <t xml:space="preserve">3. BESS · BATTERY ENERGY STORAGE</t>
  </si>
  <si>
    <t xml:space="preserve">MW · Phase 1B</t>
  </si>
  <si>
    <t xml:space="preserve">Lazard LCOE+ 2025</t>
  </si>
  <si>
    <t xml:space="preserve">BESS duration</t>
  </si>
  <si>
    <t xml:space="preserve">Hours</t>
  </si>
  <si>
    <t xml:space="preserve">4h LFP standard</t>
  </si>
  <si>
    <t xml:space="preserve">MWh</t>
  </si>
  <si>
    <t xml:space="preserve">Calc: power × duration</t>
  </si>
  <si>
    <t xml:space="preserve">4. DATACENTER &amp; H₂V</t>
  </si>
  <si>
    <t xml:space="preserve">MW IT · Phase 2</t>
  </si>
  <si>
    <t xml:space="preserve">JLL DC Outlook 2026</t>
  </si>
  <si>
    <t xml:space="preserve">Datacenter PUE target</t>
  </si>
  <si>
    <t xml:space="preserve">Power Usage Effectiveness</t>
  </si>
  <si>
    <t xml:space="preserve">Air-cooled + H₂ closed-loop</t>
  </si>
  <si>
    <t xml:space="preserve">Datacenter facility load</t>
  </si>
  <si>
    <t xml:space="preserve">MW total (IT × PUE)</t>
  </si>
  <si>
    <t xml:space="preserve">Calc</t>
  </si>
  <si>
    <t xml:space="preserve">H₂V electrolyzer capacity</t>
  </si>
  <si>
    <t xml:space="preserve">MW</t>
  </si>
  <si>
    <t xml:space="preserve">Pilot · Wood Mac 2026</t>
  </si>
  <si>
    <t xml:space="preserve">5. PROJECT TIMELINE</t>
  </si>
  <si>
    <t xml:space="preserve">Months</t>
  </si>
  <si>
    <t xml:space="preserve">Phased deployment</t>
  </si>
  <si>
    <t xml:space="preserve">Years</t>
  </si>
  <si>
    <t xml:space="preserve">Industry standard solar + DC</t>
  </si>
  <si>
    <t xml:space="preserve">Financial close target</t>
  </si>
  <si>
    <t xml:space="preserve">Year</t>
  </si>
  <si>
    <t xml:space="preserve">Per project roadmap</t>
  </si>
  <si>
    <t xml:space="preserve">6. CAPEX SUMMARY (linked from sheet 04)</t>
  </si>
  <si>
    <t xml:space="preserve">USD M · Model B</t>
  </si>
  <si>
    <t xml:space="preserve">Linked from CAPEX schedule</t>
  </si>
  <si>
    <t xml:space="preserve">7. COMMERCIAL / REVENUE ASSUMPTIONS</t>
  </si>
  <si>
    <t xml:space="preserve">PPA Solar Merchant (USD/MWh)</t>
  </si>
  <si>
    <t xml:space="preserve">10-15y term · CCEE benchmark</t>
  </si>
  <si>
    <t xml:space="preserve">16_DataSources!E25 · USD/MWh</t>
  </si>
  <si>
    <t xml:space="preserve">PPA 24/7 CFE (USD/MWh)</t>
  </si>
  <si>
    <t xml:space="preserve">Hyperscaler · 15-25y term</t>
  </si>
  <si>
    <t xml:space="preserve">16_DataSources!E26 · USD/MWh · MP 1.304</t>
  </si>
  <si>
    <t xml:space="preserve">i-REC premium (USD/MWh)</t>
  </si>
  <si>
    <t xml:space="preserve">Renewable certificate</t>
  </si>
  <si>
    <t xml:space="preserve">16_DataSources!E27</t>
  </si>
  <si>
    <t xml:space="preserve">BESS arbitrage (USD/MW-day)</t>
  </si>
  <si>
    <t xml:space="preserve">PLD horário CCEE</t>
  </si>
  <si>
    <t xml:space="preserve">16_DataSources!E29</t>
  </si>
  <si>
    <t xml:space="preserve">H₂V offtake price (USD/kg)</t>
  </si>
  <si>
    <t xml:space="preserve">Industrial green H₂</t>
  </si>
  <si>
    <t xml:space="preserve">Wood Mac LATAM H₂ 2026</t>
  </si>
  <si>
    <t xml:space="preserve">H₂V efficiency (kWh/kg)</t>
  </si>
  <si>
    <t xml:space="preserve">Electrolysis</t>
  </si>
  <si>
    <t xml:space="preserve">PEM 2026 benchmark</t>
  </si>
  <si>
    <t xml:space="preserve">Phase 1A revenue mix · % PPA Solar</t>
  </si>
  <si>
    <t xml:space="preserve">Allocation</t>
  </si>
  <si>
    <t xml:space="preserve">100% merchant initially</t>
  </si>
  <si>
    <t xml:space="preserve">Phase 1B+2 revenue mix · % CFE</t>
  </si>
  <si>
    <t xml:space="preserve">After datacenter COD</t>
  </si>
  <si>
    <t xml:space="preserve">85% CFE, 15% merchant</t>
  </si>
  <si>
    <t xml:space="preserve">8. CAPEX UNIT COSTS</t>
  </si>
  <si>
    <t xml:space="preserve">PV module ASP</t>
  </si>
  <si>
    <t xml:space="preserve">USD/Wp · Bifacial TOPCon 600+</t>
  </si>
  <si>
    <t xml:space="preserve">16_DataSources!E5 · BNEF Q1 2026</t>
  </si>
  <si>
    <t xml:space="preserve">PV BoS DC/AC/civil</t>
  </si>
  <si>
    <t xml:space="preserve">USD/Wp</t>
  </si>
  <si>
    <t xml:space="preserve">16_DataSources!E6 · Lazard 2025</t>
  </si>
  <si>
    <t xml:space="preserve">PV tracker</t>
  </si>
  <si>
    <t xml:space="preserve">USD/Wp · single-axis</t>
  </si>
  <si>
    <t xml:space="preserve">16_DataSources!E7 · NEX/AT</t>
  </si>
  <si>
    <t xml:space="preserve">PV inverter</t>
  </si>
  <si>
    <t xml:space="preserve">16_DataSources!E8 · Sungrow/Huawei</t>
  </si>
  <si>
    <t xml:space="preserve">PV EPC contingency</t>
  </si>
  <si>
    <t xml:space="preserve">16_DataSources!E9 · 5% std</t>
  </si>
  <si>
    <t xml:space="preserve">Total PV CAPEX</t>
  </si>
  <si>
    <t xml:space="preserve">USD/Wp (sum)</t>
  </si>
  <si>
    <t xml:space="preserve">Calc: sum of components</t>
  </si>
  <si>
    <t xml:space="preserve">BESS unit cost</t>
  </si>
  <si>
    <t xml:space="preserve">USD/kWh · 4h LFP</t>
  </si>
  <si>
    <t xml:space="preserve">16_DataSources!E10 · Lazard 2025</t>
  </si>
  <si>
    <t xml:space="preserve">BESS BoS / integration</t>
  </si>
  <si>
    <t xml:space="preserve">USD/kWh</t>
  </si>
  <si>
    <t xml:space="preserve">16_DataSources!E11 · BNEF 2026</t>
  </si>
  <si>
    <t xml:space="preserve">Datacenter shell + IT</t>
  </si>
  <si>
    <t xml:space="preserve">USD/W IT</t>
  </si>
  <si>
    <t xml:space="preserve">16_DataSources!E12 · JLL 2026</t>
  </si>
  <si>
    <t xml:space="preserve">H₂V electrolyzer + BoP</t>
  </si>
  <si>
    <t xml:space="preserve">USD/kW</t>
  </si>
  <si>
    <t xml:space="preserve">Wood Mac · PEM 2026</t>
  </si>
  <si>
    <t xml:space="preserve">500 kV LT dedicated</t>
  </si>
  <si>
    <t xml:space="preserve">USD M/km · 65 km total</t>
  </si>
  <si>
    <t xml:space="preserve">16_DataSources!E13 · ANEEL</t>
  </si>
  <si>
    <t xml:space="preserve">500/138 kV substation</t>
  </si>
  <si>
    <t xml:space="preserve">USD M (1.2 GVA total)</t>
  </si>
  <si>
    <t xml:space="preserve">16_DataSources!E14 · ABCE</t>
  </si>
  <si>
    <t xml:space="preserve">9. OPEX ASSUMPTIONS</t>
  </si>
  <si>
    <t xml:space="preserve">Solar O&amp;M fixed</t>
  </si>
  <si>
    <t xml:space="preserve">USD/kW-y</t>
  </si>
  <si>
    <t xml:space="preserve">16_DataSources!E33 · IRENA 2025</t>
  </si>
  <si>
    <t xml:space="preserve">Solar O&amp;M variable</t>
  </si>
  <si>
    <t xml:space="preserve">USD/MWh</t>
  </si>
  <si>
    <t xml:space="preserve">Standard industry</t>
  </si>
  <si>
    <t xml:space="preserve">BESS O&amp;M</t>
  </si>
  <si>
    <t xml:space="preserve">16_DataSources!E34 · Lazard</t>
  </si>
  <si>
    <t xml:space="preserve">Datacenter O&amp;M fixed</t>
  </si>
  <si>
    <t xml:space="preserve">USD/kW IT-y</t>
  </si>
  <si>
    <t xml:space="preserve">16_DataSources!E35 · Uptime 2026</t>
  </si>
  <si>
    <t xml:space="preserve">Insurance (% CAPEX)</t>
  </si>
  <si>
    <t xml:space="preserve">Project insurance</t>
  </si>
  <si>
    <t xml:space="preserve">16_DataSources!E36 · Marsh/AON</t>
  </si>
  <si>
    <t xml:space="preserve">Land lease LandCo → SubCo</t>
  </si>
  <si>
    <t xml:space="preserve">USD/ha-y</t>
  </si>
  <si>
    <t xml:space="preserve">16_DataSources!E37 · IPCA-indexed</t>
  </si>
  <si>
    <t xml:space="preserve">Module degradation</t>
  </si>
  <si>
    <t xml:space="preserve">%/y</t>
  </si>
  <si>
    <t xml:space="preserve">0.5%/y industry</t>
  </si>
  <si>
    <t xml:space="preserve">10. FINANCIAL ASSUMPTIONS</t>
  </si>
  <si>
    <t xml:space="preserve">USD/BRL FX (long term)</t>
  </si>
  <si>
    <t xml:space="preserve">Reference rate</t>
  </si>
  <si>
    <t xml:space="preserve">16_DataSources!E17 · BCB Focus</t>
  </si>
  <si>
    <t xml:space="preserve">USD inflation (long term)</t>
  </si>
  <si>
    <t xml:space="preserve">US PCE 5y forward</t>
  </si>
  <si>
    <t xml:space="preserve">BRL inflation (IPCA)</t>
  </si>
  <si>
    <t xml:space="preserve">16_DataSources!E19 · BCB Focus</t>
  </si>
  <si>
    <t xml:space="preserve">Discount rate (WACC USD)</t>
  </si>
  <si>
    <t xml:space="preserve">Real WACC for DCF</t>
  </si>
  <si>
    <t xml:space="preserve">Equity 12% + Debt 7%, 65/35</t>
  </si>
  <si>
    <t xml:space="preserve">Equity cost of capital</t>
  </si>
  <si>
    <t xml:space="preserve">Real USD</t>
  </si>
  <si>
    <t xml:space="preserve">Latin infra premium · CAPM-derived</t>
  </si>
  <si>
    <t xml:space="preserve">BNDES BRL debt rate (TLP + spread)</t>
  </si>
  <si>
    <t xml:space="preserve">%/y · 18y tenor</t>
  </si>
  <si>
    <t xml:space="preserve">16_DataSources!E20 · TLP 9.5% + 1%</t>
  </si>
  <si>
    <t xml:space="preserve">IDB Invest USD debt rate</t>
  </si>
  <si>
    <t xml:space="preserve">%/y · 20y tenor</t>
  </si>
  <si>
    <t xml:space="preserve">16_DataSources!E21 · SOFR+350bps</t>
  </si>
  <si>
    <t xml:space="preserve">Debt-equity ratio</t>
  </si>
  <si>
    <t xml:space="preserve">Project finance std</t>
  </si>
  <si>
    <t xml:space="preserve">65% debt / 35% equity</t>
  </si>
  <si>
    <t xml:space="preserve">Debt amortization period</t>
  </si>
  <si>
    <t xml:space="preserve">BNDES Finem Solar standard</t>
  </si>
  <si>
    <t xml:space="preserve">DSCR target</t>
  </si>
  <si>
    <t xml:space="preserve">Min covenant</t>
  </si>
  <si>
    <t xml:space="preserve">Bankable threshold</t>
  </si>
  <si>
    <t xml:space="preserve">11. FISCAL FRAMEWORK</t>
  </si>
  <si>
    <t xml:space="preserve">IRPJ rate (standard)</t>
  </si>
  <si>
    <t xml:space="preserve">Corporate tax</t>
  </si>
  <si>
    <t xml:space="preserve">16_DataSources!E32</t>
  </si>
  <si>
    <t xml:space="preserve">SUDAM reduction (10y)</t>
  </si>
  <si>
    <t xml:space="preserve">75% of IRPJ</t>
  </si>
  <si>
    <t xml:space="preserve">16_DataSources!E30 · MP 1.300/2025</t>
  </si>
  <si>
    <t xml:space="preserve">SUDAM duration</t>
  </si>
  <si>
    <t xml:space="preserve">Lei 13.799/2019</t>
  </si>
  <si>
    <t xml:space="preserve">CSLL rate</t>
  </si>
  <si>
    <t xml:space="preserve">Social contribution</t>
  </si>
  <si>
    <t xml:space="preserve">16_DataSources!E33</t>
  </si>
  <si>
    <t xml:space="preserve">PIS/COFINS suspension (REIDI)</t>
  </si>
  <si>
    <t xml:space="preserve">Construction phase</t>
  </si>
  <si>
    <t xml:space="preserve">16_DataSources!E31</t>
  </si>
  <si>
    <t xml:space="preserve">PIS/COFINS standard (operations)</t>
  </si>
  <si>
    <t xml:space="preserve">Cumulative</t>
  </si>
  <si>
    <t xml:space="preserve">Receita Federal</t>
  </si>
  <si>
    <t xml:space="preserve">12. SCENARIO SELECTOR (drives the model)</t>
  </si>
  <si>
    <t xml:space="preserve">Active scenario (P10/P50/P90)</t>
  </si>
  <si>
    <t xml:space="preserve">1=P10, 2=P50, 3=P90</t>
  </si>
  <si>
    <t xml:space="preserve">Drives sensitivity calcs</t>
  </si>
  <si>
    <t xml:space="preserve">Active model (A/B/C)</t>
  </si>
  <si>
    <t xml:space="preserve">1=A merchant, 2=B CFE, 3=C developer</t>
  </si>
  <si>
    <t xml:space="preserve">Drives revenue mix</t>
  </si>
  <si>
    <t xml:space="preserve">Capacity factor multiplier</t>
  </si>
  <si>
    <t xml:space="preserve">Applied to P50 CF</t>
  </si>
  <si>
    <t xml:space="preserve">P10=-5%, P50=0%, P90=+5%</t>
  </si>
  <si>
    <t xml:space="preserve">Revenue multiplier</t>
  </si>
  <si>
    <t xml:space="preserve">Applied to prices</t>
  </si>
  <si>
    <t xml:space="preserve">P10=-8%, P50=0%, P90=+10%</t>
  </si>
  <si>
    <t xml:space="preserve">CAPEX multiplier</t>
  </si>
  <si>
    <t xml:space="preserve">Applied to total CAPEX</t>
  </si>
  <si>
    <t xml:space="preserve">P10=+12%, P50=0%, P90=-5%</t>
  </si>
  <si>
    <t xml:space="preserve">Revenue Build · 30-Year Operating Profile · USD million</t>
  </si>
  <si>
    <t xml:space="preserve">Solar PPA + 24/7 CFE + i-RECs + BESS arbitrage + H₂V · ramped up over Phase 1A → 2</t>
  </si>
  <si>
    <t xml:space="preserve">Item / Year</t>
  </si>
  <si>
    <t xml:space="preserve">Unit</t>
  </si>
  <si>
    <t xml:space="preserve">Y1</t>
  </si>
  <si>
    <t xml:space="preserve">Y2</t>
  </si>
  <si>
    <t xml:space="preserve">Y3</t>
  </si>
  <si>
    <t xml:space="preserve">Y4</t>
  </si>
  <si>
    <t xml:space="preserve">Y5</t>
  </si>
  <si>
    <t xml:space="preserve">Y6</t>
  </si>
  <si>
    <t xml:space="preserve">Y7</t>
  </si>
  <si>
    <t xml:space="preserve">Y8</t>
  </si>
  <si>
    <t xml:space="preserve">Y9</t>
  </si>
  <si>
    <t xml:space="preserve">Y10</t>
  </si>
  <si>
    <t xml:space="preserve">Y11</t>
  </si>
  <si>
    <t xml:space="preserve">Y12</t>
  </si>
  <si>
    <t xml:space="preserve">Y13</t>
  </si>
  <si>
    <t xml:space="preserve">Y14</t>
  </si>
  <si>
    <t xml:space="preserve">Y15</t>
  </si>
  <si>
    <t xml:space="preserve">Y16</t>
  </si>
  <si>
    <t xml:space="preserve">Y17</t>
  </si>
  <si>
    <t xml:space="preserve">Y18</t>
  </si>
  <si>
    <t xml:space="preserve">Y19</t>
  </si>
  <si>
    <t xml:space="preserve">Y20</t>
  </si>
  <si>
    <t xml:space="preserve">Y21</t>
  </si>
  <si>
    <t xml:space="preserve">Y22</t>
  </si>
  <si>
    <t xml:space="preserve">Y23</t>
  </si>
  <si>
    <t xml:space="preserve">Y24</t>
  </si>
  <si>
    <t xml:space="preserve">Y25</t>
  </si>
  <si>
    <t xml:space="preserve">Y26</t>
  </si>
  <si>
    <t xml:space="preserve">Y27</t>
  </si>
  <si>
    <t xml:space="preserve">Y28</t>
  </si>
  <si>
    <t xml:space="preserve">Y29</t>
  </si>
  <si>
    <t xml:space="preserve">Y30</t>
  </si>
  <si>
    <t xml:space="preserve">2030</t>
  </si>
  <si>
    <t xml:space="preserve">2031</t>
  </si>
  <si>
    <t xml:space="preserve">2032</t>
  </si>
  <si>
    <t xml:space="preserve">2033</t>
  </si>
  <si>
    <t xml:space="preserve">2034</t>
  </si>
  <si>
    <t xml:space="preserve">2035</t>
  </si>
  <si>
    <t xml:space="preserve">2036</t>
  </si>
  <si>
    <t xml:space="preserve">2037</t>
  </si>
  <si>
    <t xml:space="preserve">2038</t>
  </si>
  <si>
    <t xml:space="preserve">2039</t>
  </si>
  <si>
    <t xml:space="preserve">2040</t>
  </si>
  <si>
    <t xml:space="preserve">2041</t>
  </si>
  <si>
    <t xml:space="preserve">2042</t>
  </si>
  <si>
    <t xml:space="preserve">2043</t>
  </si>
  <si>
    <t xml:space="preserve">2044</t>
  </si>
  <si>
    <t xml:space="preserve">2045</t>
  </si>
  <si>
    <t xml:space="preserve">2046</t>
  </si>
  <si>
    <t xml:space="preserve">2047</t>
  </si>
  <si>
    <t xml:space="preserve">2048</t>
  </si>
  <si>
    <t xml:space="preserve">2049</t>
  </si>
  <si>
    <t xml:space="preserve">2050</t>
  </si>
  <si>
    <t xml:space="preserve">2051</t>
  </si>
  <si>
    <t xml:space="preserve">2052</t>
  </si>
  <si>
    <t xml:space="preserve">2053</t>
  </si>
  <si>
    <t xml:space="preserve">2054</t>
  </si>
  <si>
    <t xml:space="preserve">2055</t>
  </si>
  <si>
    <t xml:space="preserve">2056</t>
  </si>
  <si>
    <t xml:space="preserve">2057</t>
  </si>
  <si>
    <t xml:space="preserve">2058</t>
  </si>
  <si>
    <t xml:space="preserve">2059</t>
  </si>
  <si>
    <t xml:space="preserve">Operating year</t>
  </si>
  <si>
    <t xml:space="preserve">1. ENERGY GENERATION (GWh)</t>
  </si>
  <si>
    <t xml:space="preserve">Solar generation (gross, GWh)</t>
  </si>
  <si>
    <t xml:space="preserve">GWh</t>
  </si>
  <si>
    <t xml:space="preserve">2. REVENUE STREAMS (USD M)</t>
  </si>
  <si>
    <t xml:space="preserve">Solar PPA Merchant</t>
  </si>
  <si>
    <t xml:space="preserve">USD M</t>
  </si>
  <si>
    <t xml:space="preserve">24/7 CFE PPA (Datacenter)</t>
  </si>
  <si>
    <t xml:space="preserve">i-REC certificate premium</t>
  </si>
  <si>
    <t xml:space="preserve">BESS energy arbitrage</t>
  </si>
  <si>
    <t xml:space="preserve">H₂V offtake revenue</t>
  </si>
  <si>
    <t xml:space="preserve">TOTAL REVENUE</t>
  </si>
  <si>
    <t xml:space="preserve">Cumulative revenue</t>
  </si>
  <si>
    <t xml:space="preserve">CAPEX Schedule · Phased Build · USD million</t>
  </si>
  <si>
    <t xml:space="preserve">Five-year disbursement aligned with construction Gantt · Model B base case · scenario multiplier applied</t>
  </si>
  <si>
    <t xml:space="preserve">CAPEX BY CATEGORY × YEAR</t>
  </si>
  <si>
    <t xml:space="preserve">Cost Item</t>
  </si>
  <si>
    <t xml:space="preserve">Unit cost</t>
  </si>
  <si>
    <t xml:space="preserve">Y1 (2027)</t>
  </si>
  <si>
    <t xml:space="preserve">Y2 (2028)</t>
  </si>
  <si>
    <t xml:space="preserve">Y3 (2029)</t>
  </si>
  <si>
    <t xml:space="preserve">Y4 (2030)</t>
  </si>
  <si>
    <t xml:space="preserve">Y5 (2031)</t>
  </si>
  <si>
    <t xml:space="preserve">TOTAL</t>
  </si>
  <si>
    <t xml:space="preserve">% of CAPEX</t>
  </si>
  <si>
    <t xml:space="preserve">Notes</t>
  </si>
  <si>
    <t xml:space="preserve">Modules (Bifacial TOPCon)</t>
  </si>
  <si>
    <t xml:space="preserve">BNEF · 2026 spot</t>
  </si>
  <si>
    <t xml:space="preserve">BoS DC/AC/civil</t>
  </si>
  <si>
    <t xml:space="preserve">Lazard 2025</t>
  </si>
  <si>
    <t xml:space="preserve">Tracker structure</t>
  </si>
  <si>
    <t xml:space="preserve">Nextracker / AT bids</t>
  </si>
  <si>
    <t xml:space="preserve">Inverter</t>
  </si>
  <si>
    <t xml:space="preserve">Sungrow / Huawei</t>
  </si>
  <si>
    <t xml:space="preserve">EPC contingency</t>
  </si>
  <si>
    <t xml:space="preserve">5% EPC standard</t>
  </si>
  <si>
    <t xml:space="preserve">Solar PV subtotal</t>
  </si>
  <si>
    <t xml:space="preserve">BATTERY STORAGE</t>
  </si>
  <si>
    <t xml:space="preserve">BESS · LFP 4h</t>
  </si>
  <si>
    <t xml:space="preserve">Lazard 2025 + BNEF BoS</t>
  </si>
  <si>
    <t xml:space="preserve">DATACENTER &amp; H₂V</t>
  </si>
  <si>
    <t xml:space="preserve">Datacenter shell + IT mech/elec</t>
  </si>
  <si>
    <t xml:space="preserve">JLL DC Outlook 2026 · LATAM tier</t>
  </si>
  <si>
    <t xml:space="preserve">PEM electrolyzer · Wood Mac</t>
  </si>
  <si>
    <t xml:space="preserve">TRANSMISSION</t>
  </si>
  <si>
    <t xml:space="preserve">500 kV LT dedicated (65 km)</t>
  </si>
  <si>
    <t xml:space="preserve">ANEEL 502/2022 · 2.15 USD M/km</t>
  </si>
  <si>
    <t xml:space="preserve">ABCE 2025 · 1.2 GVA</t>
  </si>
  <si>
    <t xml:space="preserve">PRE-WORKS</t>
  </si>
  <si>
    <t xml:space="preserve">TO-020 paving (9 km · 50% shared SETRANS-TO)</t>
  </si>
  <si>
    <t xml:space="preserve">Shared CAPEX with State</t>
  </si>
  <si>
    <t xml:space="preserve">Internal access road (3-5 km BGS+CBUQ)</t>
  </si>
  <si>
    <t xml:space="preserve">AETHERION CAPEX</t>
  </si>
  <si>
    <t xml:space="preserve">Worksite yard (15 ha concreted)</t>
  </si>
  <si>
    <t xml:space="preserve">AA zone</t>
  </si>
  <si>
    <t xml:space="preserve">Provisional 138 kV worksite SS</t>
  </si>
  <si>
    <t xml:space="preserve">Artesian well + WTP + reservoir</t>
  </si>
  <si>
    <t xml:space="preserve">Modular lodging 1,500 beds (3y lease)</t>
  </si>
  <si>
    <t xml:space="preserve">Returnable lease</t>
  </si>
  <si>
    <t xml:space="preserve">Mess + heliport + fueling</t>
  </si>
  <si>
    <t xml:space="preserve">EPCM, due diligence, contingency 5%</t>
  </si>
  <si>
    <t xml:space="preserve">3.5% standard</t>
  </si>
  <si>
    <t xml:space="preserve">CAPEX subtotal (base)</t>
  </si>
  <si>
    <t xml:space="preserve">TOTAL CAPEX (× scenario CAPEX multiplier)</t>
  </si>
  <si>
    <t xml:space="preserve">100%</t>
  </si>
  <si>
    <t xml:space="preserve">× scenario factor from Assumptions!D83</t>
  </si>
  <si>
    <t xml:space="preserve">Cumulative CAPEX</t>
  </si>
  <si>
    <t xml:space="preserve">OPEX Schedule · 30-Year · USD M</t>
  </si>
  <si>
    <t xml:space="preserve">Solar O&amp;M + BESS + DC + insurance + land lease · IPCA/USD indexed</t>
  </si>
  <si>
    <t xml:space="preserve">Line Item</t>
  </si>
  <si>
    <t xml:space="preserve">1. FIXED O&amp;M</t>
  </si>
  <si>
    <t xml:space="preserve">Insurance</t>
  </si>
  <si>
    <t xml:space="preserve">Land lease</t>
  </si>
  <si>
    <t xml:space="preserve">Fixed O&amp;M subtotal</t>
  </si>
  <si>
    <t xml:space="preserve">2. VARIABLE O&amp;M</t>
  </si>
  <si>
    <t xml:space="preserve">Solar variable O&amp;M</t>
  </si>
  <si>
    <t xml:space="preserve">Variable subtotal</t>
  </si>
  <si>
    <t xml:space="preserve">3. TOTAL OPEX</t>
  </si>
  <si>
    <t xml:space="preserve">TOTAL OPEX</t>
  </si>
  <si>
    <t xml:space="preserve">Cumulative OPEX</t>
  </si>
  <si>
    <t xml:space="preserve">Debt Waterfall · 30-Year · USD M</t>
  </si>
  <si>
    <t xml:space="preserve">BNDES BRL (TLP+1%) + IDB USD (SOFR+350bps) · grace 2y · annuity amort</t>
  </si>
  <si>
    <t xml:space="preserve">DEBT STRUCTURE</t>
  </si>
  <si>
    <t xml:space="preserve">Total debt (65%)</t>
  </si>
  <si>
    <t xml:space="preserve">BNDES tranche (60%)</t>
  </si>
  <si>
    <t xml:space="preserve">IDB tranche (40%)</t>
  </si>
  <si>
    <t xml:space="preserve">Total equity (35%)</t>
  </si>
  <si>
    <t xml:space="preserve">BNDES TRANCHE (USD M)</t>
  </si>
  <si>
    <t xml:space="preserve">BNDES opening</t>
  </si>
  <si>
    <t xml:space="preserve">BNDES interest</t>
  </si>
  <si>
    <t xml:space="preserve">BNDES principal</t>
  </si>
  <si>
    <t xml:space="preserve">BNDES total service</t>
  </si>
  <si>
    <t xml:space="preserve">BNDES closing</t>
  </si>
  <si>
    <t xml:space="preserve">IDB TRANCHE (USD M)</t>
  </si>
  <si>
    <t xml:space="preserve">IDB opening</t>
  </si>
  <si>
    <t xml:space="preserve">IDB interest</t>
  </si>
  <si>
    <t xml:space="preserve">IDB principal</t>
  </si>
  <si>
    <t xml:space="preserve">IDB total service</t>
  </si>
  <si>
    <t xml:space="preserve">IDB closing</t>
  </si>
  <si>
    <t xml:space="preserve">TOTAL DEBT SERVICE</t>
  </si>
  <si>
    <t xml:space="preserve">Total interest</t>
  </si>
  <si>
    <t xml:space="preserve">Total principal</t>
  </si>
  <si>
    <t xml:space="preserve">Total outstanding</t>
  </si>
  <si>
    <t xml:space="preserve">Profit &amp; Loss · 30-Year · USD M</t>
  </si>
  <si>
    <t xml:space="preserve">Revenue → EBITDA → EBIT → EBT → Net Income (incl. SUDAM benefit)</t>
  </si>
  <si>
    <t xml:space="preserve">REVENUE</t>
  </si>
  <si>
    <t xml:space="preserve">Total revenue</t>
  </si>
  <si>
    <t xml:space="preserve">OPERATING EXPENSES</t>
  </si>
  <si>
    <t xml:space="preserve">Total OPEX</t>
  </si>
  <si>
    <t xml:space="preserve">EBITDA</t>
  </si>
  <si>
    <t xml:space="preserve">EBITDA margin</t>
  </si>
  <si>
    <t xml:space="preserve">%</t>
  </si>
  <si>
    <t xml:space="preserve">D&amp;A</t>
  </si>
  <si>
    <t xml:space="preserve">Depreciation</t>
  </si>
  <si>
    <t xml:space="preserve">EBIT</t>
  </si>
  <si>
    <t xml:space="preserve">INTEREST</t>
  </si>
  <si>
    <t xml:space="preserve">Interest expense</t>
  </si>
  <si>
    <t xml:space="preserve">EBT</t>
  </si>
  <si>
    <t xml:space="preserve">TAXES</t>
  </si>
  <si>
    <t xml:space="preserve">IRPJ (with SUDAM)</t>
  </si>
  <si>
    <t xml:space="preserve">CSLL (9%)</t>
  </si>
  <si>
    <t xml:space="preserve">NET INCOME</t>
  </si>
  <si>
    <t xml:space="preserve">Net income</t>
  </si>
  <si>
    <t xml:space="preserve">Net margin</t>
  </si>
  <si>
    <t xml:space="preserve">Cash Flow Statement · 30-Year · USD M</t>
  </si>
  <si>
    <t xml:space="preserve">Operating + Investing + Financing CFs</t>
  </si>
  <si>
    <t xml:space="preserve">OPERATING</t>
  </si>
  <si>
    <t xml:space="preserve">(+) Depreciation</t>
  </si>
  <si>
    <t xml:space="preserve">Operating CF</t>
  </si>
  <si>
    <t xml:space="preserve">INVESTING</t>
  </si>
  <si>
    <t xml:space="preserve">Maintenance CAPEX</t>
  </si>
  <si>
    <t xml:space="preserve">BESS refresh</t>
  </si>
  <si>
    <t xml:space="preserve">Investing CF</t>
  </si>
  <si>
    <t xml:space="preserve">FINANCING</t>
  </si>
  <si>
    <t xml:space="preserve">Debt principal</t>
  </si>
  <si>
    <t xml:space="preserve">Dividends to equity</t>
  </si>
  <si>
    <t xml:space="preserve">Financing CF</t>
  </si>
  <si>
    <t xml:space="preserve">NET CASH FLOW</t>
  </si>
  <si>
    <t xml:space="preserve">Net change cash</t>
  </si>
  <si>
    <t xml:space="preserve">Cumulative cash</t>
  </si>
  <si>
    <t xml:space="preserve">RETURNS METRICS</t>
  </si>
  <si>
    <t xml:space="preserve">FCFE</t>
  </si>
  <si>
    <t xml:space="preserve">FCFF</t>
  </si>
  <si>
    <t xml:space="preserve">DSCR</t>
  </si>
  <si>
    <t xml:space="preserve">×</t>
  </si>
  <si>
    <t xml:space="preserve">Balance Sheet · 30-Year · USD M (simplified)</t>
  </si>
  <si>
    <t xml:space="preserve">Assets · Liabilities · Equity</t>
  </si>
  <si>
    <t xml:space="preserve">ASSETS</t>
  </si>
  <si>
    <t xml:space="preserve">Cash</t>
  </si>
  <si>
    <t xml:space="preserve">Gross PP&amp;E</t>
  </si>
  <si>
    <t xml:space="preserve">Accum. depreciation</t>
  </si>
  <si>
    <t xml:space="preserve">Net PP&amp;E</t>
  </si>
  <si>
    <t xml:space="preserve">Total assets</t>
  </si>
  <si>
    <t xml:space="preserve">LIABILITIES</t>
  </si>
  <si>
    <t xml:space="preserve">Debt outstanding</t>
  </si>
  <si>
    <t xml:space="preserve">EQUITY</t>
  </si>
  <si>
    <t xml:space="preserve">Equity</t>
  </si>
  <si>
    <t xml:space="preserve">Returns &amp; Valuation · DCF + IRR + DSCR + LCOE</t>
  </si>
  <si>
    <t xml:space="preserve">Equity IRR, unlevered IRR, NPV, payback, DSCR avg/min, LCOE blended</t>
  </si>
  <si>
    <t xml:space="preserve">Metric</t>
  </si>
  <si>
    <t xml:space="preserve">Value</t>
  </si>
  <si>
    <t xml:space="preserve">Unlevered IRR (FCFF, 30y)</t>
  </si>
  <si>
    <t xml:space="preserve">FCFF · construction CAPEX at Y0</t>
  </si>
  <si>
    <t xml:space="preserve">Equity IRR (FCFE, 30y)</t>
  </si>
  <si>
    <t xml:space="preserve">FCFE after debt service · 35% equity</t>
  </si>
  <si>
    <t xml:space="preserve">DSCR average</t>
  </si>
  <si>
    <t xml:space="preserve">Years 3-30 post-grace</t>
  </si>
  <si>
    <t xml:space="preserve">Levelized cost of energy (USD/MWh)</t>
  </si>
  <si>
    <t xml:space="preserve">Discount rate 10% USD</t>
  </si>
  <si>
    <t xml:space="preserve">Payback period</t>
  </si>
  <si>
    <t xml:space="preserve">years</t>
  </si>
  <si>
    <t xml:space="preserve">Years until cum. cash &gt; 0</t>
  </si>
  <si>
    <t xml:space="preserve">Equity multiple (10y DPI)</t>
  </si>
  <si>
    <t xml:space="preserve">Sum of FCFE Y1-Y10 ÷ equity invested</t>
  </si>
  <si>
    <t xml:space="preserve">Equity multiple (30y TVPI)</t>
  </si>
  <si>
    <t xml:space="preserve">Sum of FCFE Y1-Y30 ÷ equity</t>
  </si>
  <si>
    <t xml:space="preserve">DSCR minimum</t>
  </si>
  <si>
    <t xml:space="preserve">Min over operations</t>
  </si>
  <si>
    <t xml:space="preserve">Cash yield year 5</t>
  </si>
  <si>
    <t xml:space="preserve">FCFE Y5 / equity invested</t>
  </si>
  <si>
    <t xml:space="preserve">Cash yield year 10</t>
  </si>
  <si>
    <t xml:space="preserve">FCFE Y10 / equity invested</t>
  </si>
  <si>
    <t xml:space="preserve">Methodology notes</t>
  </si>
  <si>
    <t xml:space="preserve">• IRRs via Excel IRR over FCFE / FCFF vectors · construction CAPEX at Y0</t>
  </si>
  <si>
    <t xml:space="preserve">• WACC 8.5% real USD (Assumptions D64) · Equity cost 12% real USD (D65)</t>
  </si>
  <si>
    <t xml:space="preserve">• Debt: 60% BNDES BRL 10.5% TLP+1% (18y, 2y grace) + 40% IDB USD 7.5% SOFR+350bps (20y, 2y grace)</t>
  </si>
  <si>
    <t xml:space="preserve">• SUDAM 75% IRPJ reduction first 10 years · CSLL 9% standard · PIS/COFINS suspended construction (REIDI)</t>
  </si>
  <si>
    <t xml:space="preserve">• Module degradation 0.5%/y · bifacial gain 1.04× embedded in CF P50</t>
  </si>
  <si>
    <t xml:space="preserve">• BESS refresh Y15-16 (50% original BESS CAPEX) · maintenance CAPEX 0.5%/y from Y3</t>
  </si>
  <si>
    <t xml:space="preserve">• LCOE: annuity-equivalent total CAPEX at WACC + avg OPEX ÷ avg MWh (IRENA/Lazard std)</t>
  </si>
  <si>
    <t xml:space="preserve">• Revenue &amp; CF sensitized via D82 and D81 from P10/P50/P90 selector at D79</t>
  </si>
  <si>
    <t xml:space="preserve">-- Helper: cash flow vectors --</t>
  </si>
  <si>
    <t xml:space="preserve">FCFF (Y0..Y30)</t>
  </si>
  <si>
    <t xml:space="preserve">FCFE (Y0..Y30)</t>
  </si>
  <si>
    <t xml:space="preserve">Sensitivity Analysis · Tornado + 2-Variable Tables</t>
  </si>
  <si>
    <t xml:space="preserve">Single-variable shocks to base case · cross-variable 2D tables for key combos</t>
  </si>
  <si>
    <t xml:space="preserve">TORNADO · Equity IRR sensitivity</t>
  </si>
  <si>
    <t xml:space="preserve">Variable</t>
  </si>
  <si>
    <t xml:space="preserve">Low case</t>
  </si>
  <si>
    <t xml:space="preserve">Base</t>
  </si>
  <si>
    <t xml:space="preserve">High case</t>
  </si>
  <si>
    <t xml:space="preserve">Δ Low IRR</t>
  </si>
  <si>
    <t xml:space="preserve">Δ High IRR</t>
  </si>
  <si>
    <t xml:space="preserve">Range</t>
  </si>
  <si>
    <t xml:space="preserve">Revenue price (PPA + CFE)</t>
  </si>
  <si>
    <t xml:space="preserve">Capacity factor (P50)</t>
  </si>
  <si>
    <t xml:space="preserve">BNDES interest rate (TLP+1%)</t>
  </si>
  <si>
    <t xml:space="preserve">FX BRL/USD</t>
  </si>
  <si>
    <t xml:space="preserve">Module degradation rate</t>
  </si>
  <si>
    <t xml:space="preserve">O&amp;M cost inflation</t>
  </si>
  <si>
    <t xml:space="preserve">Construction delay</t>
  </si>
  <si>
    <t xml:space="preserve">months</t>
  </si>
  <si>
    <t xml:space="preserve">BESS refresh CAPEX</t>
  </si>
  <si>
    <t xml:space="preserve">SUDAM benefit</t>
  </si>
  <si>
    <t xml:space="preserve">Base Equity IRR (P50)</t>
  </si>
  <si>
    <t xml:space="preserve">(see sheet 10)</t>
  </si>
  <si>
    <t xml:space="preserve">2-VARIABLE TABLE · Equity IRR vs Revenue Price × CAPEX</t>
  </si>
  <si>
    <t xml:space="preserve">Revenue Δ \ CAPEX Δ</t>
  </si>
  <si>
    <t xml:space="preserve">-15%</t>
  </si>
  <si>
    <t xml:space="preserve">-10%</t>
  </si>
  <si>
    <t xml:space="preserve">-5%</t>
  </si>
  <si>
    <t xml:space="preserve">+0%</t>
  </si>
  <si>
    <t xml:space="preserve">+5%</t>
  </si>
  <si>
    <t xml:space="preserve">+10%</t>
  </si>
  <si>
    <t xml:space="preserve">+15%</t>
  </si>
  <si>
    <t xml:space="preserve">-20%</t>
  </si>
  <si>
    <t xml:space="preserve">+20%</t>
  </si>
  <si>
    <t xml:space="preserve">Scenarios · P10 / P50 / P90 × Model A / B / C</t>
  </si>
  <si>
    <t xml:space="preserve">Probability bands × commercial model decisions</t>
  </si>
  <si>
    <t xml:space="preserve">PROBABILITY SCENARIOS · Model B (Base)</t>
  </si>
  <si>
    <t xml:space="preserve">P10 (Pessimistic)</t>
  </si>
  <si>
    <t xml:space="preserve">P50 (Base)</t>
  </si>
  <si>
    <t xml:space="preserve">P90 (Optimistic)</t>
  </si>
  <si>
    <t xml:space="preserve">Equity IRR</t>
  </si>
  <si>
    <t xml:space="preserve">Unlevered IRR</t>
  </si>
  <si>
    <t xml:space="preserve">Equity multiple 30y</t>
  </si>
  <si>
    <t xml:space="preserve">LCOE</t>
  </si>
  <si>
    <t xml:space="preserve">Payback (equity)</t>
  </si>
  <si>
    <t xml:space="preserve">Total revenue NPV</t>
  </si>
  <si>
    <t xml:space="preserve">COMMERCIAL MODEL DECISIONS · A / B / C</t>
  </si>
  <si>
    <t xml:space="preserve">Model A (Merchant)</t>
  </si>
  <si>
    <t xml:space="preserve">Model B (CFE Datacenter)</t>
  </si>
  <si>
    <t xml:space="preserve">Model C (Developer Exit)</t>
  </si>
  <si>
    <t xml:space="preserve">Recommended</t>
  </si>
  <si>
    <t xml:space="preserve">1,400</t>
  </si>
  <si>
    <t xml:space="preserve">4,200</t>
  </si>
  <si>
    <t xml:space="preserve">60-80</t>
  </si>
  <si>
    <t xml:space="preserve">B (PV+DC+BESS)</t>
  </si>
  <si>
    <t xml:space="preserve">Total revenue ramp</t>
  </si>
  <si>
    <t xml:space="preserve">USD M/y</t>
  </si>
  <si>
    <t xml:space="preserve">280-320</t>
  </si>
  <si>
    <t xml:space="preserve">850-1,100</t>
  </si>
  <si>
    <t xml:space="preserve">250-400 sale</t>
  </si>
  <si>
    <t xml:space="preserve">B (15-25y CFE)</t>
  </si>
  <si>
    <t xml:space="preserve">14-16%</t>
  </si>
  <si>
    <t xml:space="preserve">18-22%</t>
  </si>
  <si>
    <t xml:space="preserve">30-45%</t>
  </si>
  <si>
    <t xml:space="preserve">B</t>
  </si>
  <si>
    <t xml:space="preserve">Equity multiple</t>
  </si>
  <si>
    <t xml:space="preserve">2.0-2.4</t>
  </si>
  <si>
    <t xml:space="preserve">2.4-3.1</t>
  </si>
  <si>
    <t xml:space="preserve">1.3-1.8</t>
  </si>
  <si>
    <t xml:space="preserve">9-11</t>
  </si>
  <si>
    <t xml:space="preserve">6-9</t>
  </si>
  <si>
    <t xml:space="preserve">2-4</t>
  </si>
  <si>
    <t xml:space="preserve">Risk level</t>
  </si>
  <si>
    <t xml:space="preserve">-</t>
  </si>
  <si>
    <t xml:space="preserve">Low</t>
  </si>
  <si>
    <t xml:space="preserve">Medium</t>
  </si>
  <si>
    <t xml:space="preserve">Low-Medium</t>
  </si>
  <si>
    <t xml:space="preserve">B w/ phasing</t>
  </si>
  <si>
    <t xml:space="preserve">Capital intensity</t>
  </si>
  <si>
    <t xml:space="preserve">High</t>
  </si>
  <si>
    <t xml:space="preserve">Very High</t>
  </si>
  <si>
    <t xml:space="preserve">Time to COD</t>
  </si>
  <si>
    <t xml:space="preserve">24</t>
  </si>
  <si>
    <t xml:space="preserve">36</t>
  </si>
  <si>
    <t xml:space="preserve">18 (dev only)</t>
  </si>
  <si>
    <t xml:space="preserve">32-40</t>
  </si>
  <si>
    <t xml:space="preserve">47-58</t>
  </si>
  <si>
    <t xml:space="preserve">N/A</t>
  </si>
  <si>
    <t xml:space="preserve">B (premium)</t>
  </si>
  <si>
    <t xml:space="preserve">Exit optionality</t>
  </si>
  <si>
    <t xml:space="preserve">Limited</t>
  </si>
  <si>
    <t xml:space="preserve">Immediate</t>
  </si>
  <si>
    <t xml:space="preserve">B (preserves all)</t>
  </si>
  <si>
    <t xml:space="preserve">Tax Detail · SUDAM · REIDI · IRPJ · CSLL · PIS/COFINS · ICMS · ISS</t>
  </si>
  <si>
    <t xml:space="preserve">Brazilian fiscal framework applied · sources cited · year-by-year benefit quantified</t>
  </si>
  <si>
    <t xml:space="preserve">Tax / Incentive</t>
  </si>
  <si>
    <t xml:space="preserve">Phase</t>
  </si>
  <si>
    <t xml:space="preserve">Rate</t>
  </si>
  <si>
    <t xml:space="preserve">Notes / Source</t>
  </si>
  <si>
    <t xml:space="preserve">IRPJ (corporate income tax)</t>
  </si>
  <si>
    <t xml:space="preserve">Operations</t>
  </si>
  <si>
    <t xml:space="preserve">25%</t>
  </si>
  <si>
    <t xml:space="preserve">Receita Federal IN 1700/2017</t>
  </si>
  <si>
    <t xml:space="preserve">SUDAM IRPJ reduction (75%)</t>
  </si>
  <si>
    <t xml:space="preserve">Years 1-10</t>
  </si>
  <si>
    <t xml:space="preserve">-18.75%</t>
  </si>
  <si>
    <t xml:space="preserve">Lei 13.799/2019 · automatic for Tocantins</t>
  </si>
  <si>
    <t xml:space="preserve">Effective IRPJ (Years 1-10)</t>
  </si>
  <si>
    <t xml:space="preserve">6.25%</t>
  </si>
  <si>
    <t xml:space="preserve">After SUDAM benefit</t>
  </si>
  <si>
    <t xml:space="preserve">Effective IRPJ (Years 11+)</t>
  </si>
  <si>
    <t xml:space="preserve">Full IRPJ post-SUDAM</t>
  </si>
  <si>
    <t xml:space="preserve">CSLL (Social contribution)</t>
  </si>
  <si>
    <t xml:space="preserve">All ops</t>
  </si>
  <si>
    <t xml:space="preserve">9%</t>
  </si>
  <si>
    <t xml:space="preserve">Lei 7,689/1988 · no exemption</t>
  </si>
  <si>
    <t xml:space="preserve">REIDI (PIS+COFINS suspension)</t>
  </si>
  <si>
    <t xml:space="preserve">Construction</t>
  </si>
  <si>
    <t xml:space="preserve">-9.25%</t>
  </si>
  <si>
    <t xml:space="preserve">Lei 11,488/2007 · Decreto 6,144</t>
  </si>
  <si>
    <t xml:space="preserve">PIS standard (operations)</t>
  </si>
  <si>
    <t xml:space="preserve">1.65%</t>
  </si>
  <si>
    <t xml:space="preserve">Lei 10,637/2002</t>
  </si>
  <si>
    <t xml:space="preserve">COFINS standard (operations)</t>
  </si>
  <si>
    <t xml:space="preserve">7.6%</t>
  </si>
  <si>
    <t xml:space="preserve">Lei 10,833/2003</t>
  </si>
  <si>
    <t xml:space="preserve">Total PIS+COFINS (operations)</t>
  </si>
  <si>
    <t xml:space="preserve">9.25%</t>
  </si>
  <si>
    <t xml:space="preserve">Cumulative regime</t>
  </si>
  <si>
    <t xml:space="preserve">ICMS Convênio 101/97</t>
  </si>
  <si>
    <t xml:space="preserve">Solar import</t>
  </si>
  <si>
    <t xml:space="preserve">100% exempt</t>
  </si>
  <si>
    <t xml:space="preserve">Equipment for renewable generation</t>
  </si>
  <si>
    <t xml:space="preserve">ICMS Convênio 16/2015</t>
  </si>
  <si>
    <t xml:space="preserve">Power generation</t>
  </si>
  <si>
    <t xml:space="preserve">TO state · negotiable for large projects</t>
  </si>
  <si>
    <t xml:space="preserve">ISS (services)</t>
  </si>
  <si>
    <t xml:space="preserve">Maintenance contracts</t>
  </si>
  <si>
    <t xml:space="preserve">3-5%</t>
  </si>
  <si>
    <t xml:space="preserve">Municipal · varies by service</t>
  </si>
  <si>
    <t xml:space="preserve">PRODUZIR-TO</t>
  </si>
  <si>
    <t xml:space="preserve">TO state</t>
  </si>
  <si>
    <t xml:space="preserve">Negotiable</t>
  </si>
  <si>
    <t xml:space="preserve">TO state development program</t>
  </si>
  <si>
    <t xml:space="preserve">ProNorte</t>
  </si>
  <si>
    <t xml:space="preserve">TO regional</t>
  </si>
  <si>
    <t xml:space="preserve">Northern region program</t>
  </si>
  <si>
    <t xml:space="preserve">MOIP (Modernização Industrial Programa)</t>
  </si>
  <si>
    <t xml:space="preserve">DC + H2V</t>
  </si>
  <si>
    <t xml:space="preserve">8% IRPJ credit</t>
  </si>
  <si>
    <t xml:space="preserve">2024 fiscal incentive · digital infra</t>
  </si>
  <si>
    <t xml:space="preserve">Total effective tax rate Y1-Y10</t>
  </si>
  <si>
    <t xml:space="preserve">15.25%</t>
  </si>
  <si>
    <t xml:space="preserve">6.25% IRPJ + 9% CSLL = SUDAM-favored</t>
  </si>
  <si>
    <t xml:space="preserve">Total effective tax rate Y11+</t>
  </si>
  <si>
    <t xml:space="preserve">34%</t>
  </si>
  <si>
    <t xml:space="preserve">25% IRPJ + 9% CSLL</t>
  </si>
  <si>
    <t xml:space="preserve">YEAR-BY-YEAR TAX BENEFIT (SUDAM)</t>
  </si>
  <si>
    <t xml:space="preserve">Profit before tax (USD M)</t>
  </si>
  <si>
    <t xml:space="preserve">Tax saved (USD M)</t>
  </si>
  <si>
    <t xml:space="preserve">Status</t>
  </si>
  <si>
    <t xml:space="preserve">Year 1</t>
  </si>
  <si>
    <t xml:space="preserve">SUDAM active (Years 1-10)</t>
  </si>
  <si>
    <t xml:space="preserve">Year 2</t>
  </si>
  <si>
    <t xml:space="preserve">Year 3</t>
  </si>
  <si>
    <t xml:space="preserve">Year 4</t>
  </si>
  <si>
    <t xml:space="preserve">Year 5</t>
  </si>
  <si>
    <t xml:space="preserve">Year 6</t>
  </si>
  <si>
    <t xml:space="preserve">Year 7</t>
  </si>
  <si>
    <t xml:space="preserve">Year 8</t>
  </si>
  <si>
    <t xml:space="preserve">Year 9</t>
  </si>
  <si>
    <t xml:space="preserve">Year 10</t>
  </si>
  <si>
    <t xml:space="preserve">Total SUDAM benefit (Years 1-10)</t>
  </si>
  <si>
    <t xml:space="preserve">USD M · directly accruing to equity</t>
  </si>
  <si>
    <t xml:space="preserve">Family LR&amp;M · LandCo distributions · 30-year cash flow to family</t>
  </si>
  <si>
    <t xml:space="preserve">Designed for family understanding · land lease + royalty + minority equity yield</t>
  </si>
  <si>
    <t xml:space="preserve">Family LR&amp;M cash flow</t>
  </si>
  <si>
    <t xml:space="preserve">1. LAND LEASE (LandCo → SubCo)</t>
  </si>
  <si>
    <t xml:space="preserve">Lease to LandCo (annual)</t>
  </si>
  <si>
    <t xml:space="preserve">2. FAMILY MINORITY EQUITY (10% retained)</t>
  </si>
  <si>
    <t xml:space="preserve">10% of equity dividends</t>
  </si>
  <si>
    <t xml:space="preserve">3. SOLAR ROYALTY (R$ 0.50/MWh)</t>
  </si>
  <si>
    <t xml:space="preserve">Royalty to LR&amp;M / state mechanism</t>
  </si>
  <si>
    <t xml:space="preserve">TOTAL FAMILY CASH FLOW (LR&amp;M)</t>
  </si>
  <si>
    <t xml:space="preserve">Cumulative family cash flow</t>
  </si>
  <si>
    <t xml:space="preserve">FAMILY VALUE CREATION SUMMARY</t>
  </si>
  <si>
    <t xml:space="preserve">Total family cash flow 30y</t>
  </si>
  <si>
    <t xml:space="preserve">Avg annual family income</t>
  </si>
  <si>
    <t xml:space="preserve">Peak year family income</t>
  </si>
  <si>
    <t xml:space="preserve">NPV family CF @ 8%</t>
  </si>
  <si>
    <t xml:space="preserve">Family equity stake</t>
  </si>
  <si>
    <t xml:space="preserve">10%</t>
  </si>
  <si>
    <t xml:space="preserve">Estimated current land value</t>
  </si>
  <si>
    <t xml:space="preserve">Estimated land value post-project</t>
  </si>
  <si>
    <t xml:space="preserve">Family wealth multiple (pre vs post)</t>
  </si>
  <si>
    <t xml:space="preserve">Charts · Visual Summary of Financial Model</t>
  </si>
  <si>
    <t xml:space="preserve">Key projections, profitability, debt cascading, and family value creation curves</t>
  </si>
  <si>
    <t xml:space="preserve">Total Revenue</t>
  </si>
  <si>
    <t xml:space="preserve">Net Income</t>
  </si>
  <si>
    <t xml:space="preserve">Family CF</t>
  </si>
  <si>
    <t xml:space="preserve">AETHERION Financial Model v4.0 · Data Sources Reference</t>
  </si>
  <si>
    <t xml:space="preserve">All inputs traceable to publicly auditable sources · last refresh May 2026 · validate before FID</t>
  </si>
  <si>
    <t xml:space="preserve">#</t>
  </si>
  <si>
    <t xml:space="preserve">Category</t>
  </si>
  <si>
    <t xml:space="preserve">Source</t>
  </si>
  <si>
    <t xml:space="preserve">URL / Reference</t>
  </si>
  <si>
    <t xml:space="preserve">1</t>
  </si>
  <si>
    <t xml:space="preserve">Annual GHI</t>
  </si>
  <si>
    <t xml:space="preserve">Solar resource</t>
  </si>
  <si>
    <t xml:space="preserve">kWh/m²/day</t>
  </si>
  <si>
    <t xml:space="preserve">NASA POWER (LARC)</t>
  </si>
  <si>
    <t xml:space="preserve">https://power.larc.nasa.gov/data-access-viewer/</t>
  </si>
  <si>
    <t xml:space="preserve">2</t>
  </si>
  <si>
    <t xml:space="preserve">Annual integrated GHI</t>
  </si>
  <si>
    <t xml:space="preserve">kWh/m²/year</t>
  </si>
  <si>
    <t xml:space="preserve">NASA POWER · 22y series</t>
  </si>
  <si>
    <t xml:space="preserve">/api/temporal/climatology · grid 9.75°S, 47.40°W</t>
  </si>
  <si>
    <t xml:space="preserve">3</t>
  </si>
  <si>
    <t xml:space="preserve">Capacity Factor P50</t>
  </si>
  <si>
    <t xml:space="preserve">Internal calc · NASA + bifacial gain</t>
  </si>
  <si>
    <t xml:space="preserve">PVSyst v7.4 simulation pending</t>
  </si>
  <si>
    <t xml:space="preserve">4</t>
  </si>
  <si>
    <t xml:space="preserve">Capacity Factor P90</t>
  </si>
  <si>
    <t xml:space="preserve">Internal calc · uncertainty 7.5%</t>
  </si>
  <si>
    <t xml:space="preserve">Validated against INPE Atlas 2nd ed.</t>
  </si>
  <si>
    <t xml:space="preserve">5</t>
  </si>
  <si>
    <t xml:space="preserve">PV module ASP (bifacial TOPCon, ≥600 Wp)</t>
  </si>
  <si>
    <t xml:space="preserve">PV CAPEX</t>
  </si>
  <si>
    <t xml:space="preserve">BloombergNEF · Q1 2026</t>
  </si>
  <si>
    <t xml:space="preserve">BNEF Solar Index · USD spot delivery</t>
  </si>
  <si>
    <t xml:space="preserve">6</t>
  </si>
  <si>
    <t xml:space="preserve">Lazard LCOE+ 2025 · utility solar Brazil</t>
  </si>
  <si>
    <t xml:space="preserve">Lazard.com · Q4 2025 report p.12</t>
  </si>
  <si>
    <t xml:space="preserve">7</t>
  </si>
  <si>
    <t xml:space="preserve">PV-Tech 2026 trackers benchmark</t>
  </si>
  <si>
    <t xml:space="preserve">Nextracker/Array Technologies bids</t>
  </si>
  <si>
    <t xml:space="preserve">8</t>
  </si>
  <si>
    <t xml:space="preserve">Inverter (central + string mix)</t>
  </si>
  <si>
    <t xml:space="preserve">Huawei / Sungrow / SMA market 2026</t>
  </si>
  <si>
    <t xml:space="preserve">BloombergNEF Inverter Tracker</t>
  </si>
  <si>
    <t xml:space="preserve">9</t>
  </si>
  <si>
    <t xml:space="preserve">Industry standard · 5% EPC</t>
  </si>
  <si>
    <t xml:space="preserve">Wood Mackenzie · Solar EPC 2025</t>
  </si>
  <si>
    <t xml:space="preserve">BESS LFP unit cost</t>
  </si>
  <si>
    <t xml:space="preserve">BESS CAPEX</t>
  </si>
  <si>
    <t xml:space="preserve">Lazard LCOE+ 2025 · 4h LFP</t>
  </si>
  <si>
    <t xml:space="preserve">Lazard.com · Storage 2025</t>
  </si>
  <si>
    <t xml:space="preserve">BESS integration / BoS</t>
  </si>
  <si>
    <t xml:space="preserve">BloombergNEF BESS BoS · 2026</t>
  </si>
  <si>
    <t xml:space="preserve">BNEF Energy Storage Index</t>
  </si>
  <si>
    <t xml:space="preserve">DC CAPEX</t>
  </si>
  <si>
    <t xml:space="preserve">JLL Data Center Outlook 2026</t>
  </si>
  <si>
    <t xml:space="preserve">JLL.com · global DC cost · LATAM tier</t>
  </si>
  <si>
    <t xml:space="preserve">500 kV double-circuit LT</t>
  </si>
  <si>
    <t xml:space="preserve">Transmission CAPEX</t>
  </si>
  <si>
    <t xml:space="preserve">USD M/km</t>
  </si>
  <si>
    <t xml:space="preserve">ONS · benchmark Brasil 2024-2026</t>
  </si>
  <si>
    <t xml:space="preserve">ANEEL Resolução 502/2022 update</t>
  </si>
  <si>
    <t xml:space="preserve">500/138 kV substation 1.2 GVA</t>
  </si>
  <si>
    <t xml:space="preserve">ABCE benchmark + EPC quotes</t>
  </si>
  <si>
    <t xml:space="preserve">ABCE 2025 Hub Norte report</t>
  </si>
  <si>
    <t xml:space="preserve">TO-020 paving (9 km)</t>
  </si>
  <si>
    <t xml:space="preserve">Pre-works</t>
  </si>
  <si>
    <t xml:space="preserve">DNIT/SETRANS-TO benchmark 2026</t>
  </si>
  <si>
    <t xml:space="preserve">DNIT Boletim Estatístico, mar/2026</t>
  </si>
  <si>
    <t xml:space="preserve">Modular lodging 1,500 beds (lease)</t>
  </si>
  <si>
    <t xml:space="preserve">USD M total</t>
  </si>
  <si>
    <t xml:space="preserve">Anchor + Cuti Modular Brazil quotes</t>
  </si>
  <si>
    <t xml:space="preserve">Site rental 30 months · returnable</t>
  </si>
  <si>
    <t xml:space="preserve">17</t>
  </si>
  <si>
    <t xml:space="preserve">USD/BRL FX rate (long term)</t>
  </si>
  <si>
    <t xml:space="preserve">FX</t>
  </si>
  <si>
    <t xml:space="preserve">BRL/USD</t>
  </si>
  <si>
    <t xml:space="preserve">Central Bank Brazil + Focus Survey 2026</t>
  </si>
  <si>
    <t xml:space="preserve">BCB Focus Report · May/2026</t>
  </si>
  <si>
    <t xml:space="preserve">18</t>
  </si>
  <si>
    <t xml:space="preserve">Brazilian CDI/SELIC (long term)</t>
  </si>
  <si>
    <t xml:space="preserve">BR rates</t>
  </si>
  <si>
    <t xml:space="preserve">Central Bank Brazil · COPOM</t>
  </si>
  <si>
    <t xml:space="preserve">BCB.gov.br · COPOM minutes</t>
  </si>
  <si>
    <t xml:space="preserve">19</t>
  </si>
  <si>
    <t xml:space="preserve">Brazilian IPCA (long term)</t>
  </si>
  <si>
    <t xml:space="preserve">Inflation</t>
  </si>
  <si>
    <t xml:space="preserve">Focus Survey 2026 BCB</t>
  </si>
  <si>
    <t xml:space="preserve">BCB Focus · 4y median</t>
  </si>
  <si>
    <t xml:space="preserve">20</t>
  </si>
  <si>
    <t xml:space="preserve">BNDES TLP (Taxa Longo Prazo)</t>
  </si>
  <si>
    <t xml:space="preserve">BNDES.gov.br · current TLP</t>
  </si>
  <si>
    <t xml:space="preserve">BNDES TLP table · Q1 2026</t>
  </si>
  <si>
    <t xml:space="preserve">21</t>
  </si>
  <si>
    <t xml:space="preserve">IDB Invest USD reference rate</t>
  </si>
  <si>
    <t xml:space="preserve">USD rates</t>
  </si>
  <si>
    <t xml:space="preserve">IDB Invest · SOFR + 350bps</t>
  </si>
  <si>
    <t xml:space="preserve">iadb.org · Sustainable Infra 2026</t>
  </si>
  <si>
    <t xml:space="preserve">22</t>
  </si>
  <si>
    <t xml:space="preserve">US 10y Treasury</t>
  </si>
  <si>
    <t xml:space="preserve">US Treasury</t>
  </si>
  <si>
    <t xml:space="preserve">treasury.gov · daily yield curve</t>
  </si>
  <si>
    <t xml:space="preserve">23</t>
  </si>
  <si>
    <t xml:space="preserve">Brazil sovereign USD spread</t>
  </si>
  <si>
    <t xml:space="preserve">EMBI+ Brazil · J.P. Morgan</t>
  </si>
  <si>
    <t xml:space="preserve">Bloomberg/JPM · Q1 2026</t>
  </si>
  <si>
    <t xml:space="preserve">Solar PPA pricing (10y term · USD)</t>
  </si>
  <si>
    <t xml:space="preserve">Revenue</t>
  </si>
  <si>
    <t xml:space="preserve">CCEE A-5 &amp; A-4 auctions 2024-2026</t>
  </si>
  <si>
    <t xml:space="preserve">ccee.org.br · leilões</t>
  </si>
  <si>
    <t xml:space="preserve">25</t>
  </si>
  <si>
    <t xml:space="preserve">24/7 CFE PPA (hyperscaler · 15y)</t>
  </si>
  <si>
    <t xml:space="preserve">Hyperscaler benchmark · Wood Mac 2026</t>
  </si>
  <si>
    <t xml:space="preserve">Wood Mac LATAM Power Service 2026</t>
  </si>
  <si>
    <t xml:space="preserve">26</t>
  </si>
  <si>
    <t xml:space="preserve">i-REC premium (yearly)</t>
  </si>
  <si>
    <t xml:space="preserve">i-REC Standard · 2025-2026</t>
  </si>
  <si>
    <t xml:space="preserve">irecstandard.org · trades data</t>
  </si>
  <si>
    <t xml:space="preserve">27</t>
  </si>
  <si>
    <t xml:space="preserve">H₂V offtake price (industrial)</t>
  </si>
  <si>
    <t xml:space="preserve">USD/kg</t>
  </si>
  <si>
    <t xml:space="preserve">Wood Mac green H₂ LATAM 2026</t>
  </si>
  <si>
    <t xml:space="preserve">Wood Mac Hydrogen Service</t>
  </si>
  <si>
    <t xml:space="preserve">28</t>
  </si>
  <si>
    <t xml:space="preserve">BESS arbitrage avg revenue</t>
  </si>
  <si>
    <t xml:space="preserve">USD/MW-day</t>
  </si>
  <si>
    <t xml:space="preserve">CCEE PLD analysis 2024-2026</t>
  </si>
  <si>
    <t xml:space="preserve">ccee.org.br · PLD horário</t>
  </si>
  <si>
    <t xml:space="preserve">29</t>
  </si>
  <si>
    <t xml:space="preserve">SUDAM IRPJ reduction (75% · 10y)</t>
  </si>
  <si>
    <t xml:space="preserve">Fiscal</t>
  </si>
  <si>
    <t xml:space="preserve">% reduction</t>
  </si>
  <si>
    <t xml:space="preserve">Lei 13,799/2019 · MP 1.300/2025</t>
  </si>
  <si>
    <t xml:space="preserve">planalto.gov.br/Lei 13799</t>
  </si>
  <si>
    <t xml:space="preserve">30</t>
  </si>
  <si>
    <t xml:space="preserve">REIDI PIS/COFINS suspension</t>
  </si>
  <si>
    <t xml:space="preserve">% saved</t>
  </si>
  <si>
    <t xml:space="preserve">receita.fazenda.gov.br/REIDI</t>
  </si>
  <si>
    <t xml:space="preserve">31</t>
  </si>
  <si>
    <t xml:space="preserve">IRPJ standard rate</t>
  </si>
  <si>
    <t xml:space="preserve">IN RFB 1700/2017</t>
  </si>
  <si>
    <t xml:space="preserve">32</t>
  </si>
  <si>
    <t xml:space="preserve">Lei 7,689/1988</t>
  </si>
  <si>
    <t xml:space="preserve">33</t>
  </si>
  <si>
    <t xml:space="preserve">Solar O&amp;M (fixed)</t>
  </si>
  <si>
    <t xml:space="preserve">OPEX</t>
  </si>
  <si>
    <t xml:space="preserve">IRENA Renewable Power 2025</t>
  </si>
  <si>
    <t xml:space="preserve">irena.org · Q4 2025 update</t>
  </si>
  <si>
    <t xml:space="preserve">34</t>
  </si>
  <si>
    <t xml:space="preserve">Lazard Storage Service Mgmt</t>
  </si>
  <si>
    <t xml:space="preserve">35</t>
  </si>
  <si>
    <t xml:space="preserve">DC O&amp;M (fixed)</t>
  </si>
  <si>
    <t xml:space="preserve">Uptime Institute 2026 Survey</t>
  </si>
  <si>
    <t xml:space="preserve">Uptime · DC Operations 2026</t>
  </si>
  <si>
    <t xml:space="preserve">Insurance (project)</t>
  </si>
  <si>
    <t xml:space="preserve">% CAPEX/y</t>
  </si>
  <si>
    <t xml:space="preserve">Marsh / AON LATAM 2026</t>
  </si>
  <si>
    <t xml:space="preserve">Renewable Energy Insurance Survey</t>
  </si>
  <si>
    <t xml:space="preserve">37</t>
  </si>
  <si>
    <t xml:space="preserve">Land lease (LandCo to SubCo · index)</t>
  </si>
  <si>
    <t xml:space="preserve">Land</t>
  </si>
  <si>
    <t xml:space="preserve">USD/ha-year</t>
  </si>
  <si>
    <t xml:space="preserve">Internal · negotiated rate</t>
  </si>
  <si>
    <t xml:space="preserve">AETHERION Family Council · May 2026</t>
  </si>
  <si>
    <t xml:space="preserve">38</t>
  </si>
  <si>
    <t xml:space="preserve">APR total area</t>
  </si>
  <si>
    <t xml:space="preserve">Site</t>
  </si>
  <si>
    <t xml:space="preserve">ha</t>
  </si>
  <si>
    <t xml:space="preserve">Carta SIGAM-TO 2024/40319</t>
  </si>
  <si>
    <t xml:space="preserve">naturatins.to.gov.br · matrícula 082484</t>
  </si>
  <si>
    <t xml:space="preserve">39</t>
  </si>
  <si>
    <t xml:space="preserve">AA + ARD usable</t>
  </si>
  <si>
    <t xml:space="preserve">SIRGAS 2000 · validated</t>
  </si>
  <si>
    <t xml:space="preserve">Monte Carlo Simulation · 10,000 iterations · 8 stochastic variables</t>
  </si>
  <si>
    <t xml:space="preserve">Stochastic analysis of IRR equity distribution · LCOE distribution · NPV distribution · Convergence by 10k trials</t>
  </si>
  <si>
    <t xml:space="preserve">1. STOCHASTIC VARIABLES · DISTRIBUTION ASSUMPTIONS</t>
  </si>
  <si>
    <t xml:space="preserve">Distribution</t>
  </si>
  <si>
    <t xml:space="preserve">Mean / Mode</t>
  </si>
  <si>
    <t xml:space="preserve">Min (P10)</t>
  </si>
  <si>
    <t xml:space="preserve">Max (P90)</t>
  </si>
  <si>
    <t xml:space="preserve">Std Dev</t>
  </si>
  <si>
    <t xml:space="preserve">Confidence level</t>
  </si>
  <si>
    <t xml:space="preserve">Comment</t>
  </si>
  <si>
    <t xml:space="preserve">Solar GHI annual (kWh/m²/d)</t>
  </si>
  <si>
    <t xml:space="preserve">Normal</t>
  </si>
  <si>
    <t xml:space="preserve">95%</t>
  </si>
  <si>
    <t xml:space="preserve">NASA POWER 22y</t>
  </si>
  <si>
    <t xml:space="preserve">Capacity Factor P50 (%)</t>
  </si>
  <si>
    <t xml:space="preserve">Internal calc</t>
  </si>
  <si>
    <t xml:space="preserve">Yield uncertainty</t>
  </si>
  <si>
    <t xml:space="preserve">PPA price 24/7 CFE (USD/MWh)</t>
  </si>
  <si>
    <t xml:space="preserve">Lognormal</t>
  </si>
  <si>
    <t xml:space="preserve">90%</t>
  </si>
  <si>
    <t xml:space="preserve">Wood Mac/Lazard</t>
  </si>
  <si>
    <t xml:space="preserve">Market price var</t>
  </si>
  <si>
    <t xml:space="preserve">PPA price merchant (USD/MWh)</t>
  </si>
  <si>
    <t xml:space="preserve">Triangular</t>
  </si>
  <si>
    <t xml:space="preserve">CCEE benchmark</t>
  </si>
  <si>
    <t xml:space="preserve">Spot price</t>
  </si>
  <si>
    <t xml:space="preserve">Total CAPEX (USD M)</t>
  </si>
  <si>
    <t xml:space="preserve">Pre-FID estimate</t>
  </si>
  <si>
    <t xml:space="preserve">EPC tender risk</t>
  </si>
  <si>
    <t xml:space="preserve">Construction delay (months)</t>
  </si>
  <si>
    <t xml:space="preserve">P50/P90</t>
  </si>
  <si>
    <t xml:space="preserve">Schedule risk</t>
  </si>
  <si>
    <t xml:space="preserve">Logistics risk</t>
  </si>
  <si>
    <t xml:space="preserve">FX BRL/USD long-term</t>
  </si>
  <si>
    <t xml:space="preserve">BCB Focus</t>
  </si>
  <si>
    <t xml:space="preserve">FX exposure</t>
  </si>
  <si>
    <t xml:space="preserve">Debt rate (BNDES BRL)</t>
  </si>
  <si>
    <t xml:space="preserve">BNDES TLP+1%</t>
  </si>
  <si>
    <t xml:space="preserve">Rate var</t>
  </si>
  <si>
    <t xml:space="preserve">2. SIMULATION RESULTS · IRR EQUITY DISTRIBUTION</t>
  </si>
  <si>
    <t xml:space="preserve">Percentile</t>
  </si>
  <si>
    <t xml:space="preserve">P5</t>
  </si>
  <si>
    <t xml:space="preserve">P10</t>
  </si>
  <si>
    <t xml:space="preserve">P25</t>
  </si>
  <si>
    <t xml:space="preserve">P50</t>
  </si>
  <si>
    <t xml:space="preserve">P75</t>
  </si>
  <si>
    <t xml:space="preserve">P90</t>
  </si>
  <si>
    <t xml:space="preserve">P95</t>
  </si>
  <si>
    <t xml:space="preserve">Mean</t>
  </si>
  <si>
    <t xml:space="preserve">StdDev</t>
  </si>
  <si>
    <t xml:space="preserve">Unlevered IRR (FCFF, %)</t>
  </si>
  <si>
    <t xml:space="preserve">Equity IRR (FCFE, %)</t>
  </si>
  <si>
    <t xml:space="preserve">NPV Equity @ 10% (USD M)</t>
  </si>
  <si>
    <t xml:space="preserve">LCOE blended (USD/MWh)</t>
  </si>
  <si>
    <t xml:space="preserve">DSCR Year 5</t>
  </si>
  <si>
    <t xml:space="preserve">Payback Equity (years)</t>
  </si>
  <si>
    <t xml:space="preserve">3. TORNADO · SENSITIVITY RANKING (impact on Equity IRR P50)</t>
  </si>
  <si>
    <t xml:space="preserve">Down case IRR</t>
  </si>
  <si>
    <t xml:space="preserve">Up case IRR</t>
  </si>
  <si>
    <t xml:space="preserve">Δ Range</t>
  </si>
  <si>
    <t xml:space="preserve">CFE PPA price (USD/MWh)</t>
  </si>
  <si>
    <t xml:space="preserve">Solar capacity factor</t>
  </si>
  <si>
    <t xml:space="preserve">Debt rate (BNDES TLP)</t>
  </si>
  <si>
    <t xml:space="preserve">Soiling/degradation</t>
  </si>
  <si>
    <t xml:space="preserve">SUDAM duration (10y vs 5y)</t>
  </si>
  <si>
    <t xml:space="preserve">METHODOLOGY NOTES</t>
  </si>
  <si>
    <t xml:space="preserve">• 10,000 iterations using Latin Hypercube sampling for variance reduction</t>
  </si>
  <si>
    <t xml:space="preserve">• Correlations among variables: CAPEX × Construction delay (positive 0.45), GHI × CF (positive 0.85), CFE price × FX (negative 0.30)</t>
  </si>
  <si>
    <t xml:space="preserve">• Output: full distribution + percentile statistics + correlation matrix · validates AETHERION viable across 95% of scenarios</t>
  </si>
  <si>
    <t xml:space="preserve">• Computed pre-Independent Engineer report · refresh after Solargis Pro and tax memos</t>
  </si>
  <si>
    <t xml:space="preserve">• Code: Python + numpy + scipy.stats · open-sourceable for lender DD if requested</t>
  </si>
</sst>
</file>

<file path=xl/styles.xml><?xml version="1.0" encoding="utf-8"?>
<styleSheet xmlns="http://schemas.openxmlformats.org/spreadsheetml/2006/main">
  <numFmts count="33">
    <numFmt numFmtId="164" formatCode="General"/>
    <numFmt numFmtId="165" formatCode="\$#,##0&quot; M&quot;"/>
    <numFmt numFmtId="166" formatCode="0.0%"/>
    <numFmt numFmtId="167" formatCode="0.00\×"/>
    <numFmt numFmtId="168" formatCode="\$#,##0&quot;/MWh&quot;"/>
    <numFmt numFmtId="169" formatCode="0,000&quot; MWac&quot;"/>
    <numFmt numFmtId="170" formatCode="0,000&quot; MWp&quot;"/>
    <numFmt numFmtId="171" formatCode="0&quot; MW&quot;"/>
    <numFmt numFmtId="172" formatCode="0&quot; MWh&quot;"/>
    <numFmt numFmtId="173" formatCode="0&quot; MW IT&quot;"/>
    <numFmt numFmtId="174" formatCode="0,000.00&quot; ha&quot;"/>
    <numFmt numFmtId="175" formatCode="0&quot; months&quot;"/>
    <numFmt numFmtId="176" formatCode="0&quot; years&quot;"/>
    <numFmt numFmtId="177" formatCode="@"/>
    <numFmt numFmtId="178" formatCode="#,##0.00"/>
    <numFmt numFmtId="179" formatCode="#,##0"/>
    <numFmt numFmtId="180" formatCode="0.00"/>
    <numFmt numFmtId="181" formatCode="0"/>
    <numFmt numFmtId="182" formatCode="\$#,##0.00"/>
    <numFmt numFmtId="183" formatCode="0.0"/>
    <numFmt numFmtId="184" formatCode="0%"/>
    <numFmt numFmtId="185" formatCode="\$0.000"/>
    <numFmt numFmtId="186" formatCode="\$#,##0"/>
    <numFmt numFmtId="187" formatCode="\$0.00"/>
    <numFmt numFmtId="188" formatCode="0.00%"/>
    <numFmt numFmtId="189" formatCode="0.000"/>
    <numFmt numFmtId="190" formatCode="#,##0.0"/>
    <numFmt numFmtId="191" formatCode="#,##0;\-#,##0;\-"/>
    <numFmt numFmtId="192" formatCode="\+0.0%;\-0.0%"/>
    <numFmt numFmtId="193" formatCode="\$0"/>
    <numFmt numFmtId="194" formatCode="#,##0.000"/>
    <numFmt numFmtId="195" formatCode="0.0\×"/>
    <numFmt numFmtId="196" formatCode="\$#,##0"/>
  </numFmts>
  <fonts count="59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36"/>
      <color rgb="FFFFFFFF"/>
      <name val="Arial"/>
      <family val="0"/>
      <charset val="1"/>
    </font>
    <font>
      <b val="true"/>
      <sz val="14"/>
      <color rgb="FFC9A23A"/>
      <name val="Arial"/>
      <family val="0"/>
      <charset val="1"/>
    </font>
    <font>
      <sz val="11"/>
      <color rgb="FFE2C66E"/>
      <name val="Arial"/>
      <family val="0"/>
      <charset val="1"/>
    </font>
    <font>
      <sz val="10"/>
      <color rgb="FFE2C66E"/>
      <name val="Arial"/>
      <family val="0"/>
      <charset val="1"/>
    </font>
    <font>
      <b val="true"/>
      <i val="true"/>
      <sz val="18"/>
      <color rgb="FFFFFFFF"/>
      <name val="Arial"/>
      <family val="0"/>
      <charset val="1"/>
    </font>
    <font>
      <b val="true"/>
      <sz val="13"/>
      <color rgb="FFFFFFFF"/>
      <name val="Arial"/>
      <family val="0"/>
      <charset val="1"/>
    </font>
    <font>
      <b val="true"/>
      <sz val="9"/>
      <color rgb="FF08382C"/>
      <name val="Arial"/>
      <family val="0"/>
      <charset val="1"/>
    </font>
    <font>
      <b val="true"/>
      <sz val="16"/>
      <color rgb="FF008000"/>
      <name val="Arial"/>
      <family val="0"/>
      <charset val="1"/>
    </font>
    <font>
      <b val="true"/>
      <sz val="9"/>
      <color rgb="FF6B6B6B"/>
      <name val="Arial"/>
      <family val="0"/>
      <charset val="1"/>
    </font>
    <font>
      <b val="true"/>
      <sz val="11"/>
      <color rgb="FF08382C"/>
      <name val="Arial"/>
      <family val="0"/>
      <charset val="1"/>
    </font>
    <font>
      <b val="true"/>
      <sz val="10"/>
      <color rgb="FFC9A23A"/>
      <name val="Arial"/>
      <family val="0"/>
      <charset val="1"/>
    </font>
    <font>
      <b val="true"/>
      <sz val="10"/>
      <color rgb="FF08382C"/>
      <name val="Arial"/>
      <family val="0"/>
      <charset val="1"/>
    </font>
    <font>
      <i val="true"/>
      <sz val="10"/>
      <color rgb="FF2C2C2C"/>
      <name val="Arial"/>
      <family val="0"/>
      <charset val="1"/>
    </font>
    <font>
      <i val="true"/>
      <sz val="9"/>
      <color rgb="FF6B6B6B"/>
      <name val="Arial"/>
      <family val="0"/>
      <charset val="1"/>
    </font>
    <font>
      <b val="true"/>
      <sz val="20"/>
      <color rgb="FF08382C"/>
      <name val="Arial"/>
      <family val="0"/>
      <charset val="1"/>
    </font>
    <font>
      <i val="true"/>
      <sz val="10"/>
      <color rgb="FF6B6B6B"/>
      <name val="Arial"/>
      <family val="0"/>
      <charset val="1"/>
    </font>
    <font>
      <b val="true"/>
      <sz val="12"/>
      <color rgb="FFFFFFFF"/>
      <name val="Arial"/>
      <family val="0"/>
      <charset val="1"/>
    </font>
    <font>
      <b val="true"/>
      <sz val="10"/>
      <color rgb="FFFFFFFF"/>
      <name val="Arial"/>
      <family val="0"/>
      <charset val="1"/>
    </font>
    <font>
      <b val="true"/>
      <sz val="10"/>
      <color rgb="FF2C2C2C"/>
      <name val="Arial"/>
      <family val="0"/>
      <charset val="1"/>
    </font>
    <font>
      <sz val="10"/>
      <color rgb="FF0000FF"/>
      <name val="Arial"/>
      <family val="0"/>
      <charset val="1"/>
    </font>
    <font>
      <i val="true"/>
      <sz val="9"/>
      <color rgb="FF1B4B7A"/>
      <name val="Arial"/>
      <family val="0"/>
      <charset val="1"/>
    </font>
    <font>
      <b val="true"/>
      <sz val="10"/>
      <color rgb="FF000000"/>
      <name val="Arial"/>
      <family val="0"/>
      <charset val="1"/>
    </font>
    <font>
      <b val="true"/>
      <sz val="10"/>
      <color rgb="FF008000"/>
      <name val="Arial"/>
      <family val="0"/>
      <charset val="1"/>
    </font>
    <font>
      <b val="true"/>
      <sz val="9"/>
      <color rgb="FFFFFFFF"/>
      <name val="Arial"/>
      <family val="0"/>
      <charset val="1"/>
    </font>
    <font>
      <sz val="8"/>
      <color rgb="FFB8B8B8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sz val="10"/>
      <color rgb="FF2C2C2C"/>
      <name val="Arial"/>
      <family val="0"/>
      <charset val="1"/>
    </font>
    <font>
      <sz val="9"/>
      <color rgb="FF6B6B6B"/>
      <name val="Arial"/>
      <family val="0"/>
      <charset val="1"/>
    </font>
    <font>
      <sz val="9"/>
      <color rgb="FF000000"/>
      <name val="Arial"/>
      <family val="0"/>
      <charset val="1"/>
    </font>
    <font>
      <b val="true"/>
      <sz val="12"/>
      <color rgb="FFC9A23A"/>
      <name val="Arial"/>
      <family val="0"/>
      <charset val="1"/>
    </font>
    <font>
      <b val="true"/>
      <sz val="11"/>
      <color rgb="FFC9A23A"/>
      <name val="Arial"/>
      <family val="0"/>
      <charset val="1"/>
    </font>
    <font>
      <sz val="10"/>
      <color rgb="FF000000"/>
      <name val="Arial"/>
      <family val="0"/>
      <charset val="1"/>
    </font>
    <font>
      <sz val="10"/>
      <color rgb="FF6B6B6B"/>
      <name val="Arial"/>
      <family val="0"/>
      <charset val="1"/>
    </font>
    <font>
      <sz val="9"/>
      <color rgb="FFB8B8B8"/>
      <name val="Arial"/>
      <family val="0"/>
      <charset val="1"/>
    </font>
    <font>
      <b val="true"/>
      <sz val="9"/>
      <color rgb="FF0A4D3C"/>
      <name val="Arial"/>
      <family val="0"/>
      <charset val="1"/>
    </font>
    <font>
      <i val="true"/>
      <sz val="9"/>
      <color rgb="FFE2C66E"/>
      <name val="Arial"/>
      <family val="0"/>
      <charset val="1"/>
    </font>
    <font>
      <sz val="9"/>
      <color rgb="FFC9A23A"/>
      <name val="Arial"/>
      <family val="0"/>
      <charset val="1"/>
    </font>
    <font>
      <b val="true"/>
      <sz val="12"/>
      <color rgb="FF08382C"/>
      <name val="Arial"/>
      <family val="0"/>
      <charset val="1"/>
    </font>
    <font>
      <b val="true"/>
      <sz val="10"/>
      <color rgb="FF9C2F26"/>
      <name val="Arial"/>
      <family val="0"/>
      <charset val="1"/>
    </font>
    <font>
      <b val="true"/>
      <sz val="10"/>
      <color rgb="FF1C6B5F"/>
      <name val="Arial"/>
      <family val="0"/>
      <charset val="1"/>
    </font>
    <font>
      <b val="true"/>
      <sz val="11"/>
      <color rgb="FF008000"/>
      <name val="Arial"/>
      <family val="0"/>
      <charset val="1"/>
    </font>
    <font>
      <sz val="11"/>
      <color rgb="FF2C2C2C"/>
      <name val="Arial"/>
      <family val="0"/>
      <charset val="1"/>
    </font>
    <font>
      <i val="true"/>
      <sz val="10"/>
      <color rgb="FF000000"/>
      <name val="Arial"/>
      <family val="0"/>
      <charset val="1"/>
    </font>
    <font>
      <sz val="10"/>
      <color rgb="FF008000"/>
      <name val="Arial"/>
      <family val="0"/>
      <charset val="1"/>
    </font>
    <font>
      <b val="true"/>
      <sz val="10"/>
      <color rgb="FF0A4D3C"/>
      <name val="Arial"/>
      <family val="0"/>
      <charset val="1"/>
    </font>
    <font>
      <b val="true"/>
      <i val="true"/>
      <sz val="10"/>
      <color rgb="FF08382C"/>
      <name val="Arial"/>
      <family val="0"/>
      <charset val="1"/>
    </font>
    <font>
      <b val="true"/>
      <sz val="10"/>
      <color rgb="FF1B4B7A"/>
      <name val="Arial"/>
      <family val="0"/>
      <charset val="1"/>
    </font>
    <font>
      <b val="true"/>
      <sz val="18"/>
      <color rgb="FF000000"/>
      <name val="Calibri"/>
      <family val="2"/>
    </font>
    <font>
      <sz val="10"/>
      <color rgb="FF000000"/>
      <name val="Calibri"/>
      <family val="2"/>
    </font>
    <font>
      <b val="true"/>
      <sz val="10"/>
      <color rgb="FF000000"/>
      <name val="Calibri"/>
      <family val="2"/>
    </font>
    <font>
      <b val="true"/>
      <sz val="18"/>
      <color rgb="FF08382C"/>
      <name val="Arial"/>
      <family val="0"/>
      <charset val="1"/>
    </font>
    <font>
      <b val="true"/>
      <sz val="10"/>
      <color rgb="FF0000FF"/>
      <name val="Arial"/>
      <family val="0"/>
      <charset val="1"/>
    </font>
    <font>
      <i val="true"/>
      <sz val="10"/>
      <color rgb="FF0000FF"/>
      <name val="Arial"/>
      <family val="0"/>
      <charset val="1"/>
    </font>
    <font>
      <sz val="10"/>
      <color rgb="FF9C2F26"/>
      <name val="Arial"/>
      <family val="0"/>
      <charset val="1"/>
    </font>
    <font>
      <sz val="10"/>
      <color rgb="FF1C6B5F"/>
      <name val="Arial"/>
      <family val="0"/>
      <charset val="1"/>
    </font>
  </fonts>
  <fills count="10">
    <fill>
      <patternFill patternType="none"/>
    </fill>
    <fill>
      <patternFill patternType="gray125"/>
    </fill>
    <fill>
      <patternFill patternType="solid">
        <fgColor rgb="FF08382C"/>
        <bgColor rgb="FF0A4D3C"/>
      </patternFill>
    </fill>
    <fill>
      <patternFill patternType="solid">
        <fgColor rgb="FFC9A23A"/>
        <bgColor rgb="FFD19998"/>
      </patternFill>
    </fill>
    <fill>
      <patternFill patternType="solid">
        <fgColor rgb="FFFAF7EE"/>
        <bgColor rgb="FFF9F9F9"/>
      </patternFill>
    </fill>
    <fill>
      <patternFill patternType="solid">
        <fgColor rgb="FF0A4D3C"/>
        <bgColor rgb="FF08382C"/>
      </patternFill>
    </fill>
    <fill>
      <patternFill patternType="solid">
        <fgColor rgb="FFF4EFE0"/>
        <bgColor rgb="FFFAF7EE"/>
      </patternFill>
    </fill>
    <fill>
      <patternFill patternType="solid">
        <fgColor rgb="FFEAE3CC"/>
        <bgColor rgb="FFDAE0D7"/>
      </patternFill>
    </fill>
    <fill>
      <patternFill patternType="solid">
        <fgColor rgb="FFE2C66E"/>
        <bgColor rgb="FFDDB6B6"/>
      </patternFill>
    </fill>
    <fill>
      <patternFill patternType="solid">
        <fgColor rgb="FFFFFFFF"/>
        <bgColor rgb="FFF9F9F9"/>
      </patternFill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2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6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8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0" fillId="3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0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1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1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11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8" fontId="11" fillId="4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9" fontId="13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70" fontId="13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71" fontId="13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72" fontId="13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73" fontId="13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74" fontId="13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6" fontId="13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75" fontId="13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76" fontId="13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77" fontId="13" fillId="0" borderId="0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0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21" fillId="5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22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17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78" fontId="2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4" fillId="0" borderId="0" xfId="0" applyFont="true" applyBorder="false" applyAlignment="true" applyProtection="false">
      <alignment horizontal="left" vertical="bottom" textRotation="0" wrapText="true" indent="1" shrinkToFit="false"/>
      <protection locked="true" hidden="false"/>
    </xf>
    <xf numFmtId="179" fontId="2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79" fontId="2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79" fontId="2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2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0" fontId="2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1" fontId="2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1" fontId="2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1" fontId="2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2" fontId="2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3" fontId="2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4" fontId="2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5" fontId="2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5" fontId="2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6" fontId="2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7" fontId="2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8" fontId="2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9" fontId="2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1" fillId="5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21" fillId="5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7" fillId="5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9" fillId="2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30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3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79" fontId="32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30" fillId="0" borderId="0" xfId="0" applyFont="true" applyBorder="false" applyAlignment="true" applyProtection="false">
      <alignment horizontal="left" vertical="bottom" textRotation="0" wrapText="false" indent="2" shrinkToFit="false"/>
      <protection locked="true" hidden="false"/>
    </xf>
    <xf numFmtId="190" fontId="32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3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33" fillId="2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14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90" fontId="34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79" fontId="3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1" fillId="5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3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91" fontId="3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3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left" vertical="bottom" textRotation="0" wrapText="true" indent="1" shrinkToFit="false"/>
      <protection locked="true" hidden="false"/>
    </xf>
    <xf numFmtId="164" fontId="15" fillId="4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79" fontId="15" fillId="4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4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38" fillId="6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0" fillId="6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6" fontId="31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3" fillId="7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79" fontId="13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13" fillId="7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7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20" fillId="2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79" fontId="33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4" fontId="34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39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5" fillId="7" borderId="0" xfId="0" applyFont="true" applyBorder="false" applyAlignment="true" applyProtection="false">
      <alignment horizontal="left" vertical="bottom" textRotation="0" wrapText="false" indent="2" shrinkToFit="false"/>
      <protection locked="true" hidden="false"/>
    </xf>
    <xf numFmtId="164" fontId="31" fillId="7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90" fontId="15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34" fillId="2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40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90" fontId="14" fillId="2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32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7" fontId="32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4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7" fontId="4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6" fontId="4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1" fontId="4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9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30" fillId="0" borderId="0" xfId="0" applyFont="true" applyBorder="true" applyAlignment="true" applyProtection="false">
      <alignment horizontal="left" vertical="bottom" textRotation="0" wrapText="true" indent="1" shrinkToFit="false"/>
      <protection locked="true" hidden="false"/>
    </xf>
    <xf numFmtId="164" fontId="37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90" fontId="3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20" fillId="2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92" fontId="42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92" fontId="43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3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6" fontId="4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3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4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13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4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6" fontId="4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6" fontId="13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6" fontId="4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7" fontId="4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7" fontId="13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7" fontId="4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93" fontId="4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93" fontId="13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93" fontId="4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1" fontId="4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1" fontId="13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1" fontId="4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1" fillId="5" borderId="0" xfId="0" applyFont="true" applyBorder="false" applyAlignment="true" applyProtection="false">
      <alignment horizontal="center" vertical="bottom" textRotation="0" wrapText="true" indent="0" shrinkToFit="false"/>
      <protection locked="true" hidden="false"/>
    </xf>
    <xf numFmtId="164" fontId="3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5" fillId="7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5" fillId="4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2" fillId="7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15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4" fillId="7" borderId="0" xfId="0" applyFont="true" applyBorder="false" applyAlignment="true" applyProtection="false">
      <alignment horizontal="left" vertical="bottom" textRotation="0" wrapText="true" indent="1" shrinkToFit="false"/>
      <protection locked="true" hidden="false"/>
    </xf>
    <xf numFmtId="164" fontId="21" fillId="5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90" fontId="4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90" fontId="48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3" fillId="8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79" fontId="41" fillId="8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9" fillId="8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29" fillId="2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94" fontId="3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90" fontId="3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79" fontId="4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90" fontId="4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4" fontId="4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95" fontId="41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90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2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43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80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0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9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4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29" fillId="2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2" fillId="4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30" fillId="4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17" fillId="4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80" fontId="55" fillId="4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31" fillId="4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4" fillId="4" borderId="0" xfId="0" applyFont="true" applyBorder="false" applyAlignment="true" applyProtection="false">
      <alignment horizontal="left" vertical="bottom" textRotation="0" wrapText="true" indent="1" shrinkToFit="false"/>
      <protection locked="true" hidden="false"/>
    </xf>
    <xf numFmtId="164" fontId="12" fillId="9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30" fillId="9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17" fillId="9" borderId="0" xfId="0" applyFont="true" applyBorder="false" applyAlignment="true" applyProtection="false">
      <alignment horizontal="left" vertical="bottom" textRotation="0" wrapText="false" indent="1" shrinkToFit="false"/>
      <protection locked="true" hidden="false"/>
    </xf>
    <xf numFmtId="164" fontId="55" fillId="9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31" fillId="9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4" fillId="9" borderId="0" xfId="0" applyFont="true" applyBorder="false" applyAlignment="true" applyProtection="false">
      <alignment horizontal="left" vertical="bottom" textRotation="0" wrapText="true" indent="1" shrinkToFit="false"/>
      <protection locked="true" hidden="false"/>
    </xf>
    <xf numFmtId="166" fontId="55" fillId="4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55" fillId="9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9" fontId="55" fillId="4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9" fontId="55" fillId="9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55" fillId="4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0" fontId="55" fillId="9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18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20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80" fontId="5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0" fontId="56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3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2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25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79" fontId="25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96" fontId="3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96" fontId="25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0" fontId="3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0" fontId="25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3" fontId="3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83" fontId="25" fillId="7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1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57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58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6" fontId="15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29" fillId="2" borderId="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CDC7D8"/>
      <rgbColor rgb="FF87A34A"/>
      <rgbColor rgb="FF0000FF"/>
      <rgbColor rgb="FFCDDCB8"/>
      <rgbColor rgb="FF8D77AA"/>
      <rgbColor rgb="FFB8B8B8"/>
      <rgbColor rgb="FF81312F"/>
      <rgbColor rgb="FF008000"/>
      <rgbColor rgb="FF7F63A0"/>
      <rgbColor rgb="FF70883A"/>
      <rgbColor rgb="FFB94946"/>
      <rgbColor rgb="FF1C6B5F"/>
      <rgbColor rgb="FFC3BAD0"/>
      <rgbColor rgb="FF878787"/>
      <rgbColor rgb="FF95ABCF"/>
      <rgbColor rgb="FF963A37"/>
      <rgbColor rgb="FFFAF7EE"/>
      <rgbColor rgb="FFF9F9F9"/>
      <rgbColor rgb="FF654F80"/>
      <rgbColor rgb="FFD19998"/>
      <rgbColor rgb="FF3D6696"/>
      <rgbColor rgb="FFC3CDE1"/>
      <rgbColor rgb="FFDCDDE9"/>
      <rgbColor rgb="FFAA9DBE"/>
      <rgbColor rgb="FFBACF9C"/>
      <rgbColor rgb="FFCFD7E7"/>
      <rgbColor rgb="FF725890"/>
      <rgbColor rgb="FF6B6B6B"/>
      <rgbColor rgb="FF345780"/>
      <rgbColor rgb="FFE0D1DC"/>
      <rgbColor rgb="FFA6B7D6"/>
      <rgbColor rgb="FFF4EFE0"/>
      <rgbColor rgb="FFDAE0D7"/>
      <rgbColor rgb="FFEAE3CC"/>
      <rgbColor rgb="FFB5C3DC"/>
      <rgbColor rgb="FFDDB6B6"/>
      <rgbColor rgb="FFB6ACC7"/>
      <rgbColor rgb="FFE2C66E"/>
      <rgbColor rgb="FF4673A7"/>
      <rgbColor rgb="FF7596C7"/>
      <rgbColor rgb="FF94B352"/>
      <rgbColor rgb="FFA6C275"/>
      <rgbColor rgb="FFC9A23A"/>
      <rgbColor rgb="FFC6716F"/>
      <rgbColor rgb="FF7A5F9A"/>
      <rgbColor rgb="FF9D8CB4"/>
      <rgbColor rgb="FF1B4B7A"/>
      <rgbColor rgb="FF4D7DB7"/>
      <rgbColor rgb="FF08382C"/>
      <rgbColor rgb="FF0A4D3C"/>
      <rgbColor rgb="FF9C2F26"/>
      <rgbColor rgb="FFA9433F"/>
      <rgbColor rgb="FF56426E"/>
      <rgbColor rgb="FF2C2C2C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Relationship Id="rId8" Type="http://schemas.openxmlformats.org/officeDocument/2006/relationships/worksheet" Target="worksheets/sheet6.xml"/><Relationship Id="rId9" Type="http://schemas.openxmlformats.org/officeDocument/2006/relationships/worksheet" Target="worksheets/sheet7.xml"/><Relationship Id="rId10" Type="http://schemas.openxmlformats.org/officeDocument/2006/relationships/worksheet" Target="worksheets/sheet8.xml"/><Relationship Id="rId11" Type="http://schemas.openxmlformats.org/officeDocument/2006/relationships/worksheet" Target="worksheets/sheet9.xml"/><Relationship Id="rId12" Type="http://schemas.openxmlformats.org/officeDocument/2006/relationships/worksheet" Target="worksheets/sheet10.xml"/><Relationship Id="rId13" Type="http://schemas.openxmlformats.org/officeDocument/2006/relationships/worksheet" Target="worksheets/sheet11.xml"/><Relationship Id="rId14" Type="http://schemas.openxmlformats.org/officeDocument/2006/relationships/worksheet" Target="worksheets/sheet12.xml"/><Relationship Id="rId15" Type="http://schemas.openxmlformats.org/officeDocument/2006/relationships/worksheet" Target="worksheets/sheet13.xml"/><Relationship Id="rId16" Type="http://schemas.openxmlformats.org/officeDocument/2006/relationships/worksheet" Target="worksheets/sheet14.xml"/><Relationship Id="rId17" Type="http://schemas.openxmlformats.org/officeDocument/2006/relationships/worksheet" Target="worksheets/sheet15.xml"/><Relationship Id="rId18" Type="http://schemas.openxmlformats.org/officeDocument/2006/relationships/worksheet" Target="worksheets/sheet16.xml"/><Relationship Id="rId19" Type="http://schemas.openxmlformats.org/officeDocument/2006/relationships/worksheet" Target="worksheets/sheet17.xml"/><Relationship Id="rId20" Type="http://schemas.openxmlformats.org/officeDocument/2006/relationships/sharedStrings" Target="sharedStrings.xml"/>
</Relationships>
</file>

<file path=xl/charts/_rels/chart1.xml.rels><?xml version="1.0" encoding="UTF-8"?>
<Relationships xmlns="http://schemas.openxmlformats.org/package/2006/relationships"><Relationship Id="rId1" Type="http://schemas.microsoft.com/office/2011/relationships/chartStyle" Target="style1.xml"/><Relationship Id="rId2" Type="http://schemas.microsoft.com/office/2011/relationships/chartColorStyle" Target="colors1.xml"/>
</Relationships>
</file>

<file path=xl/charts/_rels/chart2.xml.rels><?xml version="1.0" encoding="UTF-8"?>
<Relationships xmlns="http://schemas.openxmlformats.org/package/2006/relationships"><Relationship Id="rId1" Type="http://schemas.microsoft.com/office/2011/relationships/chartStyle" Target="style2.xml"/><Relationship Id="rId2" Type="http://schemas.microsoft.com/office/2011/relationships/chartColorStyle" Target="colors2.xml"/>
</Relationships>
</file>

<file path=xl/charts/_rels/chart3.xml.rels><?xml version="1.0" encoding="UTF-8"?>
<Relationships xmlns="http://schemas.openxmlformats.org/package/2006/relationships"><Relationship Id="rId1" Type="http://schemas.microsoft.com/office/2011/relationships/chartStyle" Target="style3.xml"/><Relationship Id="rId2" Type="http://schemas.microsoft.com/office/2011/relationships/chartColorStyle" Target="colors3.xml"/>
</Relationships>
</file>

<file path=xl/charts/_rels/chart4.xml.rels><?xml version="1.0" encoding="UTF-8"?>
<Relationships xmlns="http://schemas.openxmlformats.org/package/2006/relationships"><Relationship Id="rId1" Type="http://schemas.microsoft.com/office/2011/relationships/chartStyle" Target="style4.xml"/><Relationship Id="rId2" Type="http://schemas.microsoft.com/office/2011/relationships/chartColorStyle" Target="colors4.xml"/>
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sz="1800" b="1" u="none" strike="noStrike">
                <a:solidFill>
                  <a:srgbClr val="000000"/>
                </a:solidFill>
                <a:uFillTx/>
                <a:latin typeface="Calibri"/>
              </a:rPr>
              <a:t>Revenue · OPEX · EBITDA (USD M)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'15_Charts'!B6</c:f>
              <c:strCache>
                <c:ptCount val="1"/>
                <c:pt idx="0">
                  <c:v>Total Revenue</c:v>
                </c:pt>
              </c:strCache>
            </c:strRef>
          </c:tx>
          <c:spPr>
            <a:solidFill>
              <a:srgbClr val="315176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'15_Charts'!$B$7:$B$8</c:f>
              <c:numCache>
                <c:formatCode>General</c:formatCode>
                <c:ptCount val="2"/>
              </c:numCache>
            </c:numRef>
          </c:val>
        </c:ser>
        <c:ser>
          <c:idx val="1"/>
          <c:order val="1"/>
          <c:tx>
            <c:strRef>
              <c:f>'15_Charts'!C6</c:f>
              <c:strCache>
                <c:ptCount val="1"/>
                <c:pt idx="0">
                  <c:v>86.4</c:v>
                </c:pt>
              </c:strCache>
            </c:strRef>
          </c:tx>
          <c:spPr>
            <a:solidFill>
              <a:srgbClr val="34557D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'15_Charts'!$C$7:$C$8</c:f>
              <c:numCache>
                <c:formatCode>#,##0.0</c:formatCode>
                <c:ptCount val="2"/>
                <c:pt idx="0">
                  <c:v>28.956912975</c:v>
                </c:pt>
                <c:pt idx="1">
                  <c:v>57.409679025</c:v>
                </c:pt>
              </c:numCache>
            </c:numRef>
          </c:val>
        </c:ser>
        <c:ser>
          <c:idx val="2"/>
          <c:order val="2"/>
          <c:tx>
            <c:strRef>
              <c:f>'15_Charts'!D6</c:f>
              <c:strCache>
                <c:ptCount val="1"/>
                <c:pt idx="0">
                  <c:v>87.6</c:v>
                </c:pt>
              </c:strCache>
            </c:strRef>
          </c:tx>
          <c:spPr>
            <a:solidFill>
              <a:srgbClr val="365983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'15_Charts'!$D$7:$D$8</c:f>
              <c:numCache>
                <c:formatCode>#,##0.0</c:formatCode>
                <c:ptCount val="2"/>
                <c:pt idx="0">
                  <c:v>29.139163842</c:v>
                </c:pt>
                <c:pt idx="1">
                  <c:v>58.4979736524</c:v>
                </c:pt>
              </c:numCache>
            </c:numRef>
          </c:val>
        </c:ser>
        <c:ser>
          <c:idx val="3"/>
          <c:order val="3"/>
          <c:tx>
            <c:strRef>
              <c:f>'15_Charts'!E6</c:f>
              <c:strCache>
                <c:ptCount val="1"/>
                <c:pt idx="0">
                  <c:v>1,541.9</c:v>
                </c:pt>
              </c:strCache>
            </c:strRef>
          </c:tx>
          <c:spPr>
            <a:solidFill>
              <a:srgbClr val="395D88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'15_Charts'!$E$7:$E$8</c:f>
              <c:numCache>
                <c:formatCode>#,##0.0</c:formatCode>
                <c:ptCount val="2"/>
                <c:pt idx="0">
                  <c:v>127.827011934015</c:v>
                </c:pt>
                <c:pt idx="1">
                  <c:v>1414.07255981365</c:v>
                </c:pt>
              </c:numCache>
            </c:numRef>
          </c:val>
        </c:ser>
        <c:ser>
          <c:idx val="4"/>
          <c:order val="4"/>
          <c:tx>
            <c:strRef>
              <c:f>'15_Charts'!F6</c:f>
              <c:strCache>
                <c:ptCount val="1"/>
                <c:pt idx="0">
                  <c:v>1,572.4</c:v>
                </c:pt>
              </c:strCache>
            </c:strRef>
          </c:tx>
          <c:spPr>
            <a:solidFill>
              <a:srgbClr val="3B608E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'15_Charts'!$F$7:$F$8</c:f>
              <c:numCache>
                <c:formatCode>#,##0.0</c:formatCode>
                <c:ptCount val="2"/>
                <c:pt idx="0">
                  <c:v>130.249832226491</c:v>
                </c:pt>
                <c:pt idx="1">
                  <c:v>1442.19665158181</c:v>
                </c:pt>
              </c:numCache>
            </c:numRef>
          </c:val>
        </c:ser>
        <c:ser>
          <c:idx val="5"/>
          <c:order val="5"/>
          <c:tx>
            <c:strRef>
              <c:f>'15_Charts'!G6</c:f>
              <c:strCache>
                <c:ptCount val="1"/>
                <c:pt idx="0">
                  <c:v>1,635.8</c:v>
                </c:pt>
              </c:strCache>
            </c:strRef>
          </c:tx>
          <c:spPr>
            <a:solidFill>
              <a:srgbClr val="3D6493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'15_Charts'!$G$7:$G$8</c:f>
              <c:numCache>
                <c:formatCode>#,##0.0</c:formatCode>
                <c:ptCount val="2"/>
                <c:pt idx="0">
                  <c:v>132.731936293266</c:v>
                </c:pt>
                <c:pt idx="1">
                  <c:v>1503.08654446677</c:v>
                </c:pt>
              </c:numCache>
            </c:numRef>
          </c:val>
        </c:ser>
        <c:ser>
          <c:idx val="6"/>
          <c:order val="6"/>
          <c:tx>
            <c:strRef>
              <c:f>'15_Charts'!H6</c:f>
              <c:strCache>
                <c:ptCount val="1"/>
                <c:pt idx="0">
                  <c:v>1,668.2</c:v>
                </c:pt>
              </c:strCache>
            </c:strRef>
          </c:tx>
          <c:spPr>
            <a:solidFill>
              <a:srgbClr val="3F6798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'15_Charts'!$H$7:$H$8</c:f>
              <c:numCache>
                <c:formatCode>#,##0.0</c:formatCode>
                <c:ptCount val="2"/>
                <c:pt idx="0">
                  <c:v>135.274753499879</c:v>
                </c:pt>
                <c:pt idx="1">
                  <c:v>1532.96071098002</c:v>
                </c:pt>
              </c:numCache>
            </c:numRef>
          </c:val>
        </c:ser>
        <c:ser>
          <c:idx val="7"/>
          <c:order val="7"/>
          <c:tx>
            <c:strRef>
              <c:f>'15_Charts'!I6</c:f>
              <c:strCache>
                <c:ptCount val="1"/>
                <c:pt idx="0">
                  <c:v>1,701.3</c:v>
                </c:pt>
              </c:strCache>
            </c:strRef>
          </c:tx>
          <c:spPr>
            <a:solidFill>
              <a:srgbClr val="416A9C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'15_Charts'!$I$7:$I$8</c:f>
              <c:numCache>
                <c:formatCode>#,##0.0</c:formatCode>
                <c:ptCount val="2"/>
                <c:pt idx="0">
                  <c:v>137.879748207938</c:v>
                </c:pt>
                <c:pt idx="1">
                  <c:v>1563.41679341228</c:v>
                </c:pt>
              </c:numCache>
            </c:numRef>
          </c:val>
        </c:ser>
        <c:ser>
          <c:idx val="8"/>
          <c:order val="8"/>
          <c:tx>
            <c:strRef>
              <c:f>'15_Charts'!J6</c:f>
              <c:strCache>
                <c:ptCount val="1"/>
                <c:pt idx="0">
                  <c:v>1,735.0</c:v>
                </c:pt>
              </c:strCache>
            </c:strRef>
          </c:tx>
          <c:spPr>
            <a:solidFill>
              <a:srgbClr val="436EA1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'15_Charts'!$J$7:$J$8</c:f>
              <c:numCache>
                <c:formatCode>#,##0.0</c:formatCode>
                <c:ptCount val="2"/>
                <c:pt idx="0">
                  <c:v>140.54842064185</c:v>
                </c:pt>
                <c:pt idx="1">
                  <c:v>1594.46611012374</c:v>
                </c:pt>
              </c:numCache>
            </c:numRef>
          </c:val>
        </c:ser>
        <c:ser>
          <c:idx val="9"/>
          <c:order val="9"/>
          <c:tx>
            <c:strRef>
              <c:f>'15_Charts'!K6</c:f>
              <c:strCache>
                <c:ptCount val="1"/>
                <c:pt idx="0">
                  <c:v>1,769.4</c:v>
                </c:pt>
              </c:strCache>
            </c:strRef>
          </c:tx>
          <c:spPr>
            <a:solidFill>
              <a:srgbClr val="4571A5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'15_Charts'!$K$7:$K$8</c:f>
              <c:numCache>
                <c:formatCode>#,##0.0</c:formatCode>
                <c:ptCount val="2"/>
                <c:pt idx="0">
                  <c:v>143.282307777385</c:v>
                </c:pt>
                <c:pt idx="1">
                  <c:v>1626.12019810924</c:v>
                </c:pt>
              </c:numCache>
            </c:numRef>
          </c:val>
        </c:ser>
        <c:ser>
          <c:idx val="10"/>
          <c:order val="10"/>
          <c:tx>
            <c:strRef>
              <c:f>'15_Charts'!L6</c:f>
              <c:strCache>
                <c:ptCount val="1"/>
                <c:pt idx="0">
                  <c:v>1,804.5</c:v>
                </c:pt>
              </c:strCache>
            </c:strRef>
          </c:tx>
          <c:spPr>
            <a:solidFill>
              <a:srgbClr val="4673A9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'15_Charts'!$L$7:$L$8</c:f>
              <c:numCache>
                <c:formatCode>#,##0.0</c:formatCode>
                <c:ptCount val="2"/>
                <c:pt idx="0">
                  <c:v>146.082984252648</c:v>
                </c:pt>
                <c:pt idx="1">
                  <c:v>1658.39081717901</c:v>
                </c:pt>
              </c:numCache>
            </c:numRef>
          </c:val>
        </c:ser>
        <c:ser>
          <c:idx val="11"/>
          <c:order val="11"/>
          <c:tx>
            <c:strRef>
              <c:f>'15_Charts'!M6</c:f>
              <c:strCache>
                <c:ptCount val="1"/>
                <c:pt idx="0">
                  <c:v>1,840.2</c:v>
                </c:pt>
              </c:strCache>
            </c:strRef>
          </c:tx>
          <c:spPr>
            <a:solidFill>
              <a:srgbClr val="4876AD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'15_Charts'!$M$7:$M$8</c:f>
              <c:numCache>
                <c:formatCode>#,##0.0</c:formatCode>
                <c:ptCount val="2"/>
                <c:pt idx="0">
                  <c:v>148.95206330203</c:v>
                </c:pt>
                <c:pt idx="1">
                  <c:v>1691.28995421811</c:v>
                </c:pt>
              </c:numCache>
            </c:numRef>
          </c:val>
        </c:ser>
        <c:ser>
          <c:idx val="12"/>
          <c:order val="12"/>
          <c:tx>
            <c:strRef>
              <c:f>'15_Charts'!N6</c:f>
              <c:strCache>
                <c:ptCount val="1"/>
                <c:pt idx="0">
                  <c:v>1,876.7</c:v>
                </c:pt>
              </c:strCache>
            </c:strRef>
          </c:tx>
          <c:spPr>
            <a:solidFill>
              <a:srgbClr val="4A79B1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'15_Charts'!$N$7:$N$8</c:f>
              <c:numCache>
                <c:formatCode>#,##0.0</c:formatCode>
                <c:ptCount val="2"/>
                <c:pt idx="0">
                  <c:v>151.891197713745</c:v>
                </c:pt>
                <c:pt idx="1">
                  <c:v>1724.82982752578</c:v>
                </c:pt>
              </c:numCache>
            </c:numRef>
          </c:val>
        </c:ser>
        <c:ser>
          <c:idx val="13"/>
          <c:order val="13"/>
          <c:tx>
            <c:strRef>
              <c:f>'15_Charts'!O6</c:f>
              <c:strCache>
                <c:ptCount val="1"/>
                <c:pt idx="0">
                  <c:v>1,913.9</c:v>
                </c:pt>
              </c:strCache>
            </c:strRef>
          </c:tx>
          <c:spPr>
            <a:solidFill>
              <a:srgbClr val="4B7BB5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'15_Charts'!$O$7:$O$8</c:f>
              <c:numCache>
                <c:formatCode>#,##0.0</c:formatCode>
                <c:ptCount val="2"/>
                <c:pt idx="0">
                  <c:v>154.90208081154</c:v>
                </c:pt>
                <c:pt idx="1">
                  <c:v>1759.02289123632</c:v>
                </c:pt>
              </c:numCache>
            </c:numRef>
          </c:val>
        </c:ser>
        <c:ser>
          <c:idx val="14"/>
          <c:order val="14"/>
          <c:tx>
            <c:strRef>
              <c:f>'15_Charts'!P6</c:f>
              <c:strCache>
                <c:ptCount val="1"/>
                <c:pt idx="0">
                  <c:v>1,951.9</c:v>
                </c:pt>
              </c:strCache>
            </c:strRef>
          </c:tx>
          <c:spPr>
            <a:solidFill>
              <a:srgbClr val="4D7EB9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'15_Charts'!$P$7:$P$8</c:f>
              <c:numCache>
                <c:formatCode>#,##0.0</c:formatCode>
                <c:ptCount val="2"/>
                <c:pt idx="0">
                  <c:v>157.986447461243</c:v>
                </c:pt>
                <c:pt idx="1">
                  <c:v>1793.88183982291</c:v>
                </c:pt>
              </c:numCache>
            </c:numRef>
          </c:val>
        </c:ser>
        <c:ser>
          <c:idx val="15"/>
          <c:order val="15"/>
          <c:tx>
            <c:strRef>
              <c:f>'15_Charts'!Q6</c:f>
              <c:strCache>
                <c:ptCount val="1"/>
                <c:pt idx="0">
                  <c:v>1,990.6</c:v>
                </c:pt>
              </c:strCache>
            </c:strRef>
          </c:tx>
          <c:spPr>
            <a:solidFill>
              <a:srgbClr val="4F81BD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'15_Charts'!$Q$7:$Q$8</c:f>
              <c:numCache>
                <c:formatCode>#,##0.0</c:formatCode>
                <c:ptCount val="2"/>
                <c:pt idx="0">
                  <c:v>161.146075102751</c:v>
                </c:pt>
                <c:pt idx="1">
                  <c:v>1829.4196126859</c:v>
                </c:pt>
              </c:numCache>
            </c:numRef>
          </c:val>
        </c:ser>
        <c:ser>
          <c:idx val="16"/>
          <c:order val="16"/>
          <c:tx>
            <c:strRef>
              <c:f>'15_Charts'!R6</c:f>
              <c:strCache>
                <c:ptCount val="1"/>
                <c:pt idx="0">
                  <c:v>2,030.0</c:v>
                </c:pt>
              </c:strCache>
            </c:strRef>
          </c:tx>
          <c:spPr>
            <a:solidFill>
              <a:srgbClr val="6189C0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'15_Charts'!$R$7:$R$8</c:f>
              <c:numCache>
                <c:formatCode>#,##0.0</c:formatCode>
                <c:ptCount val="2"/>
                <c:pt idx="0">
                  <c:v>164.382784808159</c:v>
                </c:pt>
                <c:pt idx="1">
                  <c:v>1865.64939882704</c:v>
                </c:pt>
              </c:numCache>
            </c:numRef>
          </c:val>
        </c:ser>
        <c:ser>
          <c:idx val="17"/>
          <c:order val="17"/>
          <c:tx>
            <c:strRef>
              <c:f>'15_Charts'!S6</c:f>
              <c:strCache>
                <c:ptCount val="1"/>
                <c:pt idx="0">
                  <c:v>2,070.3</c:v>
                </c:pt>
              </c:strCache>
            </c:strRef>
          </c:tx>
          <c:spPr>
            <a:solidFill>
              <a:srgbClr val="6F92C3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'15_Charts'!$S$7:$S$8</c:f>
              <c:numCache>
                <c:formatCode>#,##0.0</c:formatCode>
                <c:ptCount val="2"/>
                <c:pt idx="0">
                  <c:v>167.698442366676</c:v>
                </c:pt>
                <c:pt idx="1">
                  <c:v>1902.58464161136</c:v>
                </c:pt>
              </c:numCache>
            </c:numRef>
          </c:val>
        </c:ser>
        <c:ser>
          <c:idx val="18"/>
          <c:order val="18"/>
          <c:tx>
            <c:strRef>
              <c:f>'15_Charts'!T6</c:f>
              <c:strCache>
                <c:ptCount val="1"/>
                <c:pt idx="0">
                  <c:v>2,111.3</c:v>
                </c:pt>
              </c:strCache>
            </c:strRef>
          </c:tx>
          <c:spPr>
            <a:solidFill>
              <a:srgbClr val="7B99C7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'15_Charts'!$T$7:$T$8</c:f>
              <c:numCache>
                <c:formatCode>#,##0.0</c:formatCode>
                <c:ptCount val="2"/>
                <c:pt idx="0">
                  <c:v>171.094959397054</c:v>
                </c:pt>
                <c:pt idx="1">
                  <c:v>1940.23904361808</c:v>
                </c:pt>
              </c:numCache>
            </c:numRef>
          </c:val>
        </c:ser>
        <c:ser>
          <c:idx val="19"/>
          <c:order val="19"/>
          <c:tx>
            <c:strRef>
              <c:f>'15_Charts'!U6</c:f>
              <c:strCache>
                <c:ptCount val="1"/>
                <c:pt idx="0">
                  <c:v>2,153.2</c:v>
                </c:pt>
              </c:strCache>
            </c:strRef>
          </c:tx>
          <c:spPr>
            <a:solidFill>
              <a:srgbClr val="86A0CA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'15_Charts'!$U$7:$U$8</c:f>
              <c:numCache>
                <c:formatCode>#,##0.0</c:formatCode>
                <c:ptCount val="2"/>
                <c:pt idx="0">
                  <c:v>174.574294488226</c:v>
                </c:pt>
                <c:pt idx="1">
                  <c:v>1978.62657158233</c:v>
                </c:pt>
              </c:numCache>
            </c:numRef>
          </c:val>
        </c:ser>
        <c:ser>
          <c:idx val="20"/>
          <c:order val="20"/>
          <c:tx>
            <c:strRef>
              <c:f>'15_Charts'!V6</c:f>
              <c:strCache>
                <c:ptCount val="1"/>
                <c:pt idx="0">
                  <c:v>2,195.9</c:v>
                </c:pt>
              </c:strCache>
            </c:strRef>
          </c:tx>
          <c:spPr>
            <a:solidFill>
              <a:srgbClr val="90A7CD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'15_Charts'!$V$7:$V$8</c:f>
              <c:numCache>
                <c:formatCode>#,##0.0</c:formatCode>
                <c:ptCount val="2"/>
                <c:pt idx="0">
                  <c:v>178.138454368907</c:v>
                </c:pt>
                <c:pt idx="1">
                  <c:v>2017.7614614292</c:v>
                </c:pt>
              </c:numCache>
            </c:numRef>
          </c:val>
        </c:ser>
        <c:ser>
          <c:idx val="21"/>
          <c:order val="21"/>
          <c:tx>
            <c:strRef>
              <c:f>'15_Charts'!W6</c:f>
              <c:strCache>
                <c:ptCount val="1"/>
                <c:pt idx="0">
                  <c:v>2,239.4</c:v>
                </c:pt>
              </c:strCache>
            </c:strRef>
          </c:tx>
          <c:spPr>
            <a:solidFill>
              <a:srgbClr val="99AED0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'15_Charts'!$W$7:$W$8</c:f>
              <c:numCache>
                <c:formatCode>#,##0.0</c:formatCode>
                <c:ptCount val="2"/>
                <c:pt idx="0">
                  <c:v>181.789495106897</c:v>
                </c:pt>
                <c:pt idx="1">
                  <c:v>2057.65822340189</c:v>
                </c:pt>
              </c:numCache>
            </c:numRef>
          </c:val>
        </c:ser>
        <c:ser>
          <c:idx val="22"/>
          <c:order val="22"/>
          <c:tx>
            <c:strRef>
              <c:f>'15_Charts'!X6</c:f>
              <c:strCache>
                <c:ptCount val="1"/>
                <c:pt idx="0">
                  <c:v>2,283.9</c:v>
                </c:pt>
              </c:strCache>
            </c:strRef>
          </c:tx>
          <c:spPr>
            <a:solidFill>
              <a:srgbClr val="A2B4D4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'15_Charts'!$X$7:$X$8</c:f>
              <c:numCache>
                <c:formatCode>#,##0.0</c:formatCode>
                <c:ptCount val="2"/>
                <c:pt idx="0">
                  <c:v>185.529523338882</c:v>
                </c:pt>
                <c:pt idx="1">
                  <c:v>2098.33164728556</c:v>
                </c:pt>
              </c:numCache>
            </c:numRef>
          </c:val>
        </c:ser>
        <c:ser>
          <c:idx val="23"/>
          <c:order val="23"/>
          <c:tx>
            <c:strRef>
              <c:f>'15_Charts'!Y6</c:f>
              <c:strCache>
                <c:ptCount val="1"/>
                <c:pt idx="0">
                  <c:v>2,329.2</c:v>
                </c:pt>
              </c:strCache>
            </c:strRef>
          </c:tx>
          <c:spPr>
            <a:solidFill>
              <a:srgbClr val="AABAD7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'15_Charts'!$Y$7:$Y$8</c:f>
              <c:numCache>
                <c:formatCode>#,##0.0</c:formatCode>
                <c:ptCount val="2"/>
                <c:pt idx="0">
                  <c:v>189.360697531516</c:v>
                </c:pt>
                <c:pt idx="1">
                  <c:v>2139.79680772865</c:v>
                </c:pt>
              </c:numCache>
            </c:numRef>
          </c:val>
        </c:ser>
        <c:ser>
          <c:idx val="24"/>
          <c:order val="24"/>
          <c:tx>
            <c:strRef>
              <c:f>'15_Charts'!Z6</c:f>
              <c:strCache>
                <c:ptCount val="1"/>
                <c:pt idx="0">
                  <c:v>2,375.4</c:v>
                </c:pt>
              </c:strCache>
            </c:strRef>
          </c:tx>
          <c:spPr>
            <a:solidFill>
              <a:srgbClr val="B1BFDA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'15_Charts'!$Z$7:$Z$8</c:f>
              <c:numCache>
                <c:formatCode>#,##0.0</c:formatCode>
                <c:ptCount val="2"/>
                <c:pt idx="0">
                  <c:v>193.285229274615</c:v>
                </c:pt>
                <c:pt idx="1">
                  <c:v>2182.06906966336</c:v>
                </c:pt>
              </c:numCache>
            </c:numRef>
          </c:val>
        </c:ser>
        <c:ser>
          <c:idx val="25"/>
          <c:order val="25"/>
          <c:tx>
            <c:strRef>
              <c:f>'15_Charts'!AA6</c:f>
              <c:strCache>
                <c:ptCount val="1"/>
                <c:pt idx="0">
                  <c:v>2,422.5</c:v>
                </c:pt>
              </c:strCache>
            </c:strRef>
          </c:tx>
          <c:spPr>
            <a:solidFill>
              <a:srgbClr val="B8C5DD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'15_Charts'!$AA$7:$AA$8</c:f>
              <c:numCache>
                <c:formatCode>#,##0.0</c:formatCode>
                <c:ptCount val="2"/>
                <c:pt idx="0">
                  <c:v>197.305384607298</c:v>
                </c:pt>
                <c:pt idx="1">
                  <c:v>2225.16409382725</c:v>
                </c:pt>
              </c:numCache>
            </c:numRef>
          </c:val>
        </c:ser>
        <c:ser>
          <c:idx val="26"/>
          <c:order val="26"/>
          <c:tx>
            <c:strRef>
              <c:f>'15_Charts'!AB6</c:f>
              <c:strCache>
                <c:ptCount val="1"/>
                <c:pt idx="0">
                  <c:v>2,470.5</c:v>
                </c:pt>
              </c:strCache>
            </c:strRef>
          </c:tx>
          <c:spPr>
            <a:solidFill>
              <a:srgbClr val="BFCADF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'15_Charts'!$AB$7:$AB$8</c:f>
              <c:numCache>
                <c:formatCode>#,##0.0</c:formatCode>
                <c:ptCount val="2"/>
                <c:pt idx="0">
                  <c:v>201.423485377954</c:v>
                </c:pt>
                <c:pt idx="1">
                  <c:v>2269.09784238741</c:v>
                </c:pt>
              </c:numCache>
            </c:numRef>
          </c:val>
        </c:ser>
        <c:ser>
          <c:idx val="27"/>
          <c:order val="27"/>
          <c:tx>
            <c:strRef>
              <c:f>'15_Charts'!AC6</c:f>
              <c:strCache>
                <c:ptCount val="1"/>
                <c:pt idx="0">
                  <c:v>2,519.5</c:v>
                </c:pt>
              </c:strCache>
            </c:strRef>
          </c:tx>
          <c:spPr>
            <a:solidFill>
              <a:srgbClr val="C5CFE2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'15_Charts'!$AC$7:$AC$8</c:f>
              <c:numCache>
                <c:formatCode>#,##0.0</c:formatCode>
                <c:ptCount val="2"/>
                <c:pt idx="0">
                  <c:v>205.641910638908</c:v>
                </c:pt>
                <c:pt idx="1">
                  <c:v>2313.8865846695</c:v>
                </c:pt>
              </c:numCache>
            </c:numRef>
          </c:val>
        </c:ser>
        <c:ser>
          <c:idx val="28"/>
          <c:order val="28"/>
          <c:tx>
            <c:strRef>
              <c:f>'15_Charts'!AD6</c:f>
              <c:strCache>
                <c:ptCount val="1"/>
                <c:pt idx="0">
                  <c:v>2,569.5</c:v>
                </c:pt>
              </c:strCache>
            </c:strRef>
          </c:tx>
          <c:spPr>
            <a:solidFill>
              <a:srgbClr val="CBD4E5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'15_Charts'!$AD$7:$AD$8</c:f>
              <c:numCache>
                <c:formatCode>#,##0.0</c:formatCode>
                <c:ptCount val="2"/>
                <c:pt idx="0">
                  <c:v>209.963098076712</c:v>
                </c:pt>
                <c:pt idx="1">
                  <c:v>2359.54690299307</c:v>
                </c:pt>
              </c:numCache>
            </c:numRef>
          </c:val>
        </c:ser>
        <c:ser>
          <c:idx val="29"/>
          <c:order val="29"/>
          <c:tx>
            <c:strRef>
              <c:f>'15_Charts'!AE6</c:f>
              <c:strCache>
                <c:ptCount val="1"/>
                <c:pt idx="0">
                  <c:v>2,620.5</c:v>
                </c:pt>
              </c:strCache>
            </c:strRef>
          </c:tx>
          <c:spPr>
            <a:solidFill>
              <a:srgbClr val="D1D9E8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'15_Charts'!$AE$7:$AE$8</c:f>
              <c:numCache>
                <c:formatCode>#,##0.0</c:formatCode>
                <c:ptCount val="2"/>
                <c:pt idx="0">
                  <c:v>214.389545479002</c:v>
                </c:pt>
                <c:pt idx="1">
                  <c:v>2406.09569861541</c:v>
                </c:pt>
              </c:numCache>
            </c:numRef>
          </c:val>
        </c:ser>
        <c:ser>
          <c:idx val="30"/>
          <c:order val="30"/>
          <c:tx>
            <c:strRef>
              <c:f>'15_Charts'!AF6</c:f>
              <c:strCache>
                <c:ptCount val="1"/>
                <c:pt idx="0">
                  <c:v>2,672.5</c:v>
                </c:pt>
              </c:strCache>
            </c:strRef>
          </c:tx>
          <c:spPr>
            <a:solidFill>
              <a:srgbClr val="D7DEEB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multiLvlStrRef>
              <c:f>'15_Charts'!$C$5:$AF$5</c:f>
              <c:multiLvlStrCache>
                <c:ptCount val="1"/>
                <c:lvl>
                  <c:pt idx="0">
                    <c:v>2059</c:v>
                  </c:pt>
                </c:lvl>
                <c:lvl>
                  <c:pt idx="0">
                    <c:v>2058</c:v>
                  </c:pt>
                </c:lvl>
                <c:lvl>
                  <c:pt idx="0">
                    <c:v>2057</c:v>
                  </c:pt>
                </c:lvl>
                <c:lvl>
                  <c:pt idx="0">
                    <c:v>2056</c:v>
                  </c:pt>
                </c:lvl>
                <c:lvl>
                  <c:pt idx="0">
                    <c:v>2055</c:v>
                  </c:pt>
                </c:lvl>
                <c:lvl>
                  <c:pt idx="0">
                    <c:v>2054</c:v>
                  </c:pt>
                </c:lvl>
                <c:lvl>
                  <c:pt idx="0">
                    <c:v>2053</c:v>
                  </c:pt>
                </c:lvl>
                <c:lvl>
                  <c:pt idx="0">
                    <c:v>2052</c:v>
                  </c:pt>
                </c:lvl>
                <c:lvl>
                  <c:pt idx="0">
                    <c:v>2051</c:v>
                  </c:pt>
                </c:lvl>
                <c:lvl>
                  <c:pt idx="0">
                    <c:v>2050</c:v>
                  </c:pt>
                </c:lvl>
                <c:lvl>
                  <c:pt idx="0">
                    <c:v>2049</c:v>
                  </c:pt>
                </c:lvl>
                <c:lvl>
                  <c:pt idx="0">
                    <c:v>2048</c:v>
                  </c:pt>
                </c:lvl>
                <c:lvl>
                  <c:pt idx="0">
                    <c:v>2047</c:v>
                  </c:pt>
                </c:lvl>
                <c:lvl>
                  <c:pt idx="0">
                    <c:v>2046</c:v>
                  </c:pt>
                </c:lvl>
                <c:lvl>
                  <c:pt idx="0">
                    <c:v>2045</c:v>
                  </c:pt>
                </c:lvl>
                <c:lvl>
                  <c:pt idx="0">
                    <c:v>2044</c:v>
                  </c:pt>
                </c:lvl>
                <c:lvl>
                  <c:pt idx="0">
                    <c:v>2043</c:v>
                  </c:pt>
                </c:lvl>
                <c:lvl>
                  <c:pt idx="0">
                    <c:v>2042</c:v>
                  </c:pt>
                </c:lvl>
                <c:lvl>
                  <c:pt idx="0">
                    <c:v>2041</c:v>
                  </c:pt>
                </c:lvl>
                <c:lvl>
                  <c:pt idx="0">
                    <c:v>2040</c:v>
                  </c:pt>
                </c:lvl>
                <c:lvl>
                  <c:pt idx="0">
                    <c:v>2039</c:v>
                  </c:pt>
                </c:lvl>
                <c:lvl>
                  <c:pt idx="0">
                    <c:v>2038</c:v>
                  </c:pt>
                </c:lvl>
                <c:lvl>
                  <c:pt idx="0">
                    <c:v>2037</c:v>
                  </c:pt>
                </c:lvl>
                <c:lvl>
                  <c:pt idx="0">
                    <c:v>2036</c:v>
                  </c:pt>
                </c:lvl>
                <c:lvl>
                  <c:pt idx="0">
                    <c:v>2035</c:v>
                  </c:pt>
                </c:lvl>
                <c:lvl>
                  <c:pt idx="0">
                    <c:v>2034</c:v>
                  </c:pt>
                </c:lvl>
                <c:lvl>
                  <c:pt idx="0">
                    <c:v>2033</c:v>
                  </c:pt>
                </c:lvl>
                <c:lvl>
                  <c:pt idx="0">
                    <c:v>2032</c:v>
                  </c:pt>
                </c:lvl>
                <c:lvl>
                  <c:pt idx="0">
                    <c:v>2031</c:v>
                  </c:pt>
                </c:lvl>
                <c:lvl>
                  <c:pt idx="0">
                    <c:v>2030</c:v>
                  </c:pt>
                </c:lvl>
              </c:multiLvlStrCache>
            </c:multiLvlStrRef>
          </c:cat>
          <c:val>
            <c:numRef>
              <c:f>'15_Charts'!$AF$7:$AF$8</c:f>
              <c:numCache>
                <c:formatCode>#,##0.0</c:formatCode>
                <c:ptCount val="2"/>
                <c:pt idx="0">
                  <c:v>218.92381223888</c:v>
                </c:pt>
                <c:pt idx="1">
                  <c:v>2453.55019778566</c:v>
                </c:pt>
              </c:numCache>
            </c:numRef>
          </c:val>
        </c:ser>
        <c:gapWidth val="150"/>
        <c:overlap val="0"/>
        <c:axId val="16096606"/>
        <c:axId val="80712398"/>
      </c:barChart>
      <c:catAx>
        <c:axId val="16096606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Year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80712398"/>
        <c:crosses val="autoZero"/>
        <c:auto val="1"/>
        <c:lblAlgn val="ctr"/>
        <c:lblOffset val="100"/>
        <c:noMultiLvlLbl val="0"/>
      </c:catAx>
      <c:valAx>
        <c:axId val="80712398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USD M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#,##0.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16096606"/>
        <c:crosses val="autoZero"/>
        <c:crossBetween val="between"/>
      </c:valAx>
      <c:spPr>
        <a:solidFill>
          <a:srgbClr val="FFFFFF"/>
        </a:solidFill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sz="1800" b="1" u="none" strike="noStrike">
                <a:solidFill>
                  <a:srgbClr val="000000"/>
                </a:solidFill>
                <a:uFillTx/>
                <a:latin typeface="Calibri"/>
              </a:rPr>
              <a:t>Net Income trajectory (USD M)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ineChart>
        <c:grouping val="standard"/>
        <c:varyColors val="0"/>
        <c:ser>
          <c:idx val="0"/>
          <c:order val="0"/>
          <c:tx>
            <c:strRef>
              <c:f>'15_Charts'!B9</c:f>
              <c:strCache>
                <c:ptCount val="1"/>
                <c:pt idx="0">
                  <c:v>Net Income</c:v>
                </c:pt>
              </c:strCache>
            </c:strRef>
          </c:tx>
          <c:spPr>
            <a:solidFill>
              <a:srgbClr val="772E2C"/>
            </a:solidFill>
            <a:ln w="12600">
              <a:solidFill>
                <a:srgbClr val="772E2C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'15_Charts'!$B$9:$C$9</c:f>
              <c:numCache>
                <c:formatCode>#,##0.0</c:formatCode>
                <c:ptCount val="2"/>
                <c:pt idx="1">
                  <c:v>-369.4223967375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'15_Charts'!C9</c:f>
              <c:strCache>
                <c:ptCount val="1"/>
                <c:pt idx="0">
                  <c:v>-369.4</c:v>
                </c:pt>
              </c:strCache>
            </c:strRef>
          </c:tx>
          <c:spPr>
            <a:solidFill>
              <a:srgbClr val="7E302E"/>
            </a:solidFill>
            <a:ln w="12600">
              <a:solidFill>
                <a:srgbClr val="7E302E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'15_Charts'!$C$9:$D$9</c:f>
              <c:numCache>
                <c:formatCode>#,##0.0</c:formatCode>
                <c:ptCount val="2"/>
                <c:pt idx="0">
                  <c:v>-369.4223967375</c:v>
                </c:pt>
                <c:pt idx="1">
                  <c:v>-368.3341021101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'15_Charts'!D9</c:f>
              <c:strCache>
                <c:ptCount val="1"/>
                <c:pt idx="0">
                  <c:v>-368.3</c:v>
                </c:pt>
              </c:strCache>
            </c:strRef>
          </c:tx>
          <c:spPr>
            <a:solidFill>
              <a:srgbClr val="843331"/>
            </a:solidFill>
            <a:ln w="12600">
              <a:solidFill>
                <a:srgbClr val="843331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'15_Charts'!$D$9:$E$9</c:f>
              <c:numCache>
                <c:formatCode>#,##0.0</c:formatCode>
                <c:ptCount val="2"/>
                <c:pt idx="0">
                  <c:v>-368.3341021101</c:v>
                </c:pt>
                <c:pt idx="1">
                  <c:v>836.686310233346</c:v>
                </c:pt>
              </c:numCache>
            </c:numRef>
          </c:val>
          <c:smooth val="1"/>
        </c:ser>
        <c:ser>
          <c:idx val="3"/>
          <c:order val="3"/>
          <c:tx>
            <c:strRef>
              <c:f>'15_Charts'!E9</c:f>
              <c:strCache>
                <c:ptCount val="1"/>
                <c:pt idx="0">
                  <c:v>836.7</c:v>
                </c:pt>
              </c:strCache>
            </c:strRef>
          </c:tx>
          <c:spPr>
            <a:solidFill>
              <a:srgbClr val="883533"/>
            </a:solidFill>
            <a:ln w="12600">
              <a:solidFill>
                <a:srgbClr val="883533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'15_Charts'!$E$9:$F$9</c:f>
              <c:numCache>
                <c:formatCode>#,##0.0</c:formatCode>
                <c:ptCount val="2"/>
                <c:pt idx="0">
                  <c:v>836.686310233346</c:v>
                </c:pt>
                <c:pt idx="1">
                  <c:v>866.838217038477</c:v>
                </c:pt>
              </c:numCache>
            </c:numRef>
          </c:val>
          <c:smooth val="1"/>
        </c:ser>
        <c:ser>
          <c:idx val="4"/>
          <c:order val="4"/>
          <c:tx>
            <c:strRef>
              <c:f>'15_Charts'!F9</c:f>
              <c:strCache>
                <c:ptCount val="1"/>
                <c:pt idx="0">
                  <c:v>866.8</c:v>
                </c:pt>
              </c:strCache>
            </c:strRef>
          </c:tx>
          <c:spPr>
            <a:solidFill>
              <a:srgbClr val="8E3835"/>
            </a:solidFill>
            <a:ln w="12600">
              <a:solidFill>
                <a:srgbClr val="8E3835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'15_Charts'!$F$9:$G$9</c:f>
              <c:numCache>
                <c:formatCode>#,##0.0</c:formatCode>
                <c:ptCount val="2"/>
                <c:pt idx="0">
                  <c:v>866.838217038477</c:v>
                </c:pt>
                <c:pt idx="1">
                  <c:v>925.359151765596</c:v>
                </c:pt>
              </c:numCache>
            </c:numRef>
          </c:val>
          <c:smooth val="1"/>
        </c:ser>
        <c:ser>
          <c:idx val="5"/>
          <c:order val="5"/>
          <c:tx>
            <c:strRef>
              <c:f>'15_Charts'!G9</c:f>
              <c:strCache>
                <c:ptCount val="1"/>
                <c:pt idx="0">
                  <c:v>925.4</c:v>
                </c:pt>
              </c:strCache>
            </c:strRef>
          </c:tx>
          <c:spPr>
            <a:solidFill>
              <a:srgbClr val="933A37"/>
            </a:solidFill>
            <a:ln w="12600">
              <a:solidFill>
                <a:srgbClr val="933A37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'15_Charts'!$G$9:$H$9</c:f>
              <c:numCache>
                <c:formatCode>#,##0.0</c:formatCode>
                <c:ptCount val="2"/>
                <c:pt idx="0">
                  <c:v>925.359151765596</c:v>
                </c:pt>
                <c:pt idx="1">
                  <c:v>958.252527613915</c:v>
                </c:pt>
              </c:numCache>
            </c:numRef>
          </c:val>
          <c:smooth val="1"/>
        </c:ser>
        <c:ser>
          <c:idx val="6"/>
          <c:order val="6"/>
          <c:tx>
            <c:strRef>
              <c:f>'15_Charts'!H9</c:f>
              <c:strCache>
                <c:ptCount val="1"/>
                <c:pt idx="0">
                  <c:v>958.3</c:v>
                </c:pt>
              </c:strCache>
            </c:strRef>
          </c:tx>
          <c:spPr>
            <a:solidFill>
              <a:srgbClr val="983C39"/>
            </a:solidFill>
            <a:ln w="12600">
              <a:solidFill>
                <a:srgbClr val="983C39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'15_Charts'!$H$9:$I$9</c:f>
              <c:numCache>
                <c:formatCode>#,##0.0</c:formatCode>
                <c:ptCount val="2"/>
                <c:pt idx="0">
                  <c:v>958.252527613915</c:v>
                </c:pt>
                <c:pt idx="1">
                  <c:v>992.361365474389</c:v>
                </c:pt>
              </c:numCache>
            </c:numRef>
          </c:val>
          <c:smooth val="1"/>
        </c:ser>
        <c:ser>
          <c:idx val="7"/>
          <c:order val="7"/>
          <c:tx>
            <c:strRef>
              <c:f>'15_Charts'!I9</c:f>
              <c:strCache>
                <c:ptCount val="1"/>
                <c:pt idx="0">
                  <c:v>992.4</c:v>
                </c:pt>
              </c:strCache>
            </c:strRef>
          </c:tx>
          <c:spPr>
            <a:solidFill>
              <a:srgbClr val="9D3E3B"/>
            </a:solidFill>
            <a:ln w="12600">
              <a:solidFill>
                <a:srgbClr val="9D3E3B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'15_Charts'!$I$9:$J$9</c:f>
              <c:numCache>
                <c:formatCode>#,##0.0</c:formatCode>
                <c:ptCount val="2"/>
                <c:pt idx="0">
                  <c:v>992.361365474389</c:v>
                </c:pt>
                <c:pt idx="1">
                  <c:v>1027.76561626567</c:v>
                </c:pt>
              </c:numCache>
            </c:numRef>
          </c:val>
          <c:smooth val="1"/>
        </c:ser>
        <c:ser>
          <c:idx val="8"/>
          <c:order val="8"/>
          <c:tx>
            <c:strRef>
              <c:f>'15_Charts'!J9</c:f>
              <c:strCache>
                <c:ptCount val="1"/>
                <c:pt idx="0">
                  <c:v>1,027.8</c:v>
                </c:pt>
              </c:strCache>
            </c:strRef>
          </c:tx>
          <c:spPr>
            <a:solidFill>
              <a:srgbClr val="A1403D"/>
            </a:solidFill>
            <a:ln w="12600">
              <a:solidFill>
                <a:srgbClr val="A1403D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'15_Charts'!$J$9:$K$9</c:f>
              <c:numCache>
                <c:formatCode>#,##0.0</c:formatCode>
                <c:ptCount val="2"/>
                <c:pt idx="0">
                  <c:v>1027.76561626567</c:v>
                </c:pt>
                <c:pt idx="1">
                  <c:v>1064.55239272862</c:v>
                </c:pt>
              </c:numCache>
            </c:numRef>
          </c:val>
          <c:smooth val="1"/>
        </c:ser>
        <c:ser>
          <c:idx val="9"/>
          <c:order val="9"/>
          <c:tx>
            <c:strRef>
              <c:f>'15_Charts'!K9</c:f>
              <c:strCache>
                <c:ptCount val="1"/>
                <c:pt idx="0">
                  <c:v>1,064.6</c:v>
                </c:pt>
              </c:strCache>
            </c:strRef>
          </c:tx>
          <c:spPr>
            <a:solidFill>
              <a:srgbClr val="A6423F"/>
            </a:solidFill>
            <a:ln w="12600">
              <a:solidFill>
                <a:srgbClr val="A6423F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'15_Charts'!$K$9:$L$9</c:f>
              <c:numCache>
                <c:formatCode>#,##0.0</c:formatCode>
                <c:ptCount val="2"/>
                <c:pt idx="0">
                  <c:v>1064.55239272862</c:v>
                </c:pt>
                <c:pt idx="1">
                  <c:v>1102.81667467083</c:v>
                </c:pt>
              </c:numCache>
            </c:numRef>
          </c:val>
          <c:smooth val="1"/>
        </c:ser>
        <c:ser>
          <c:idx val="10"/>
          <c:order val="10"/>
          <c:tx>
            <c:strRef>
              <c:f>'15_Charts'!L9</c:f>
              <c:strCache>
                <c:ptCount val="1"/>
                <c:pt idx="0">
                  <c:v>1,102.8</c:v>
                </c:pt>
              </c:strCache>
            </c:strRef>
          </c:tx>
          <c:spPr>
            <a:solidFill>
              <a:srgbClr val="AB4340"/>
            </a:solidFill>
            <a:ln w="12600">
              <a:solidFill>
                <a:srgbClr val="AB4340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'15_Charts'!$L$9:$M$9</c:f>
              <c:numCache>
                <c:formatCode>#,##0.0</c:formatCode>
                <c:ptCount val="2"/>
                <c:pt idx="0">
                  <c:v>1102.81667467083</c:v>
                </c:pt>
                <c:pt idx="1">
                  <c:v>889.860739262321</c:v>
                </c:pt>
              </c:numCache>
            </c:numRef>
          </c:val>
          <c:smooth val="1"/>
        </c:ser>
        <c:ser>
          <c:idx val="11"/>
          <c:order val="11"/>
          <c:tx>
            <c:strRef>
              <c:f>'15_Charts'!M9</c:f>
              <c:strCache>
                <c:ptCount val="1"/>
                <c:pt idx="0">
                  <c:v>889.9</c:v>
                </c:pt>
              </c:strCache>
            </c:strRef>
          </c:tx>
          <c:spPr>
            <a:solidFill>
              <a:srgbClr val="AF4541"/>
            </a:solidFill>
            <a:ln w="12600">
              <a:solidFill>
                <a:srgbClr val="AF4541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'15_Charts'!$M$9:$N$9</c:f>
              <c:numCache>
                <c:formatCode>#,##0.0</c:formatCode>
                <c:ptCount val="2"/>
                <c:pt idx="0">
                  <c:v>889.860739262321</c:v>
                </c:pt>
                <c:pt idx="1">
                  <c:v>922.210211122589</c:v>
                </c:pt>
              </c:numCache>
            </c:numRef>
          </c:val>
          <c:smooth val="1"/>
        </c:ser>
        <c:ser>
          <c:idx val="12"/>
          <c:order val="12"/>
          <c:tx>
            <c:strRef>
              <c:f>'15_Charts'!N9</c:f>
              <c:strCache>
                <c:ptCount val="1"/>
                <c:pt idx="0">
                  <c:v>922.2</c:v>
                </c:pt>
              </c:strCache>
            </c:strRef>
          </c:tx>
          <c:spPr>
            <a:solidFill>
              <a:srgbClr val="B34743"/>
            </a:solidFill>
            <a:ln w="12600">
              <a:solidFill>
                <a:srgbClr val="B34743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'15_Charts'!$N$9:$O$9</c:f>
              <c:numCache>
                <c:formatCode>#,##0.0</c:formatCode>
                <c:ptCount val="2"/>
                <c:pt idx="0">
                  <c:v>922.210211122589</c:v>
                </c:pt>
                <c:pt idx="1">
                  <c:v>955.975327238741</c:v>
                </c:pt>
              </c:numCache>
            </c:numRef>
          </c:val>
          <c:smooth val="1"/>
        </c:ser>
        <c:ser>
          <c:idx val="13"/>
          <c:order val="13"/>
          <c:tx>
            <c:strRef>
              <c:f>'15_Charts'!O9</c:f>
              <c:strCache>
                <c:ptCount val="1"/>
                <c:pt idx="0">
                  <c:v>956.0</c:v>
                </c:pt>
              </c:strCache>
            </c:strRef>
          </c:tx>
          <c:spPr>
            <a:solidFill>
              <a:srgbClr val="B64744"/>
            </a:solidFill>
            <a:ln w="12600">
              <a:solidFill>
                <a:srgbClr val="B64744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'15_Charts'!$O$9:$P$9</c:f>
              <c:numCache>
                <c:formatCode>#,##0.0</c:formatCode>
                <c:ptCount val="2"/>
                <c:pt idx="0">
                  <c:v>955.975327238741</c:v>
                </c:pt>
                <c:pt idx="1">
                  <c:v>991.26125430989</c:v>
                </c:pt>
              </c:numCache>
            </c:numRef>
          </c:val>
          <c:smooth val="1"/>
        </c:ser>
        <c:ser>
          <c:idx val="14"/>
          <c:order val="14"/>
          <c:tx>
            <c:strRef>
              <c:f>'15_Charts'!P9</c:f>
              <c:strCache>
                <c:ptCount val="1"/>
                <c:pt idx="0">
                  <c:v>991.3</c:v>
                </c:pt>
              </c:strCache>
            </c:strRef>
          </c:tx>
          <c:spPr>
            <a:solidFill>
              <a:srgbClr val="BA4946"/>
            </a:solidFill>
            <a:ln w="12600">
              <a:solidFill>
                <a:srgbClr val="BA4946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'15_Charts'!$P$9:$Q$9</c:f>
              <c:numCache>
                <c:formatCode>#,##0.0</c:formatCode>
                <c:ptCount val="2"/>
                <c:pt idx="0">
                  <c:v>991.26125430989</c:v>
                </c:pt>
                <c:pt idx="1">
                  <c:v>1028.18298934811</c:v>
                </c:pt>
              </c:numCache>
            </c:numRef>
          </c:val>
          <c:smooth val="1"/>
        </c:ser>
        <c:ser>
          <c:idx val="15"/>
          <c:order val="15"/>
          <c:tx>
            <c:strRef>
              <c:f>'15_Charts'!Q9</c:f>
              <c:strCache>
                <c:ptCount val="1"/>
                <c:pt idx="0">
                  <c:v>1,028.2</c:v>
                </c:pt>
              </c:strCache>
            </c:strRef>
          </c:tx>
          <c:spPr>
            <a:solidFill>
              <a:srgbClr val="BE4B48"/>
            </a:solidFill>
            <a:ln w="12600">
              <a:solidFill>
                <a:srgbClr val="BE4B48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'15_Charts'!$Q$9:$R$9</c:f>
              <c:numCache>
                <c:formatCode>#,##0.0</c:formatCode>
                <c:ptCount val="2"/>
                <c:pt idx="0">
                  <c:v>1028.18298934811</c:v>
                </c:pt>
                <c:pt idx="1">
                  <c:v>1066.86634091419</c:v>
                </c:pt>
              </c:numCache>
            </c:numRef>
          </c:val>
          <c:smooth val="1"/>
        </c:ser>
        <c:ser>
          <c:idx val="16"/>
          <c:order val="16"/>
          <c:tx>
            <c:strRef>
              <c:f>'15_Charts'!R9</c:f>
              <c:strCache>
                <c:ptCount val="1"/>
                <c:pt idx="0">
                  <c:v>1,066.9</c:v>
                </c:pt>
              </c:strCache>
            </c:strRef>
          </c:tx>
          <c:spPr>
            <a:solidFill>
              <a:srgbClr val="C05C5A"/>
            </a:solidFill>
            <a:ln w="12600">
              <a:solidFill>
                <a:srgbClr val="C05C5A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'15_Charts'!$R$9:$S$9</c:f>
              <c:numCache>
                <c:formatCode>#,##0.0</c:formatCode>
                <c:ptCount val="2"/>
                <c:pt idx="0">
                  <c:v>1066.86634091419</c:v>
                </c:pt>
                <c:pt idx="1">
                  <c:v>1107.44901033765</c:v>
                </c:pt>
              </c:numCache>
            </c:numRef>
          </c:val>
          <c:smooth val="1"/>
        </c:ser>
        <c:ser>
          <c:idx val="17"/>
          <c:order val="17"/>
          <c:tx>
            <c:strRef>
              <c:f>'15_Charts'!S9</c:f>
              <c:strCache>
                <c:ptCount val="1"/>
                <c:pt idx="0">
                  <c:v>1,107.4</c:v>
                </c:pt>
              </c:strCache>
            </c:strRef>
          </c:tx>
          <c:spPr>
            <a:solidFill>
              <a:srgbClr val="C36B69"/>
            </a:solidFill>
            <a:ln w="12600">
              <a:solidFill>
                <a:srgbClr val="C36B69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'15_Charts'!$S$9:$T$9</c:f>
              <c:numCache>
                <c:formatCode>#,##0.0</c:formatCode>
                <c:ptCount val="2"/>
                <c:pt idx="0">
                  <c:v>1107.44901033765</c:v>
                </c:pt>
                <c:pt idx="1">
                  <c:v>1150.08178320577</c:v>
                </c:pt>
              </c:numCache>
            </c:numRef>
          </c:val>
          <c:smooth val="1"/>
        </c:ser>
        <c:ser>
          <c:idx val="18"/>
          <c:order val="18"/>
          <c:tx>
            <c:strRef>
              <c:f>'15_Charts'!T9</c:f>
              <c:strCache>
                <c:ptCount val="1"/>
                <c:pt idx="0">
                  <c:v>1,150.1</c:v>
                </c:pt>
              </c:strCache>
            </c:strRef>
          </c:tx>
          <c:spPr>
            <a:solidFill>
              <a:srgbClr val="C67775"/>
            </a:solidFill>
            <a:ln w="12600">
              <a:solidFill>
                <a:srgbClr val="C67775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'15_Charts'!$T$9:$U$9</c:f>
              <c:numCache>
                <c:formatCode>#,##0.0</c:formatCode>
                <c:ptCount val="2"/>
                <c:pt idx="0">
                  <c:v>1150.08178320577</c:v>
                </c:pt>
                <c:pt idx="1">
                  <c:v>1194.92984247082</c:v>
                </c:pt>
              </c:numCache>
            </c:numRef>
          </c:val>
          <c:smooth val="1"/>
        </c:ser>
        <c:ser>
          <c:idx val="19"/>
          <c:order val="19"/>
          <c:tx>
            <c:strRef>
              <c:f>'15_Charts'!U9</c:f>
              <c:strCache>
                <c:ptCount val="1"/>
                <c:pt idx="0">
                  <c:v>1,194.9</c:v>
                </c:pt>
              </c:strCache>
            </c:strRef>
          </c:tx>
          <c:spPr>
            <a:solidFill>
              <a:srgbClr val="C98280"/>
            </a:solidFill>
            <a:ln w="12600">
              <a:solidFill>
                <a:srgbClr val="C98280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'15_Charts'!$U$9:$V$9</c:f>
              <c:numCache>
                <c:formatCode>#,##0.0</c:formatCode>
                <c:ptCount val="2"/>
                <c:pt idx="0">
                  <c:v>1194.92984247082</c:v>
                </c:pt>
                <c:pt idx="1">
                  <c:v>1225.98105544374</c:v>
                </c:pt>
              </c:numCache>
            </c:numRef>
          </c:val>
          <c:smooth val="1"/>
        </c:ser>
        <c:ser>
          <c:idx val="20"/>
          <c:order val="20"/>
          <c:tx>
            <c:strRef>
              <c:f>'15_Charts'!V9</c:f>
              <c:strCache>
                <c:ptCount val="1"/>
                <c:pt idx="0">
                  <c:v>1,226.0</c:v>
                </c:pt>
              </c:strCache>
            </c:strRef>
          </c:tx>
          <c:spPr>
            <a:solidFill>
              <a:srgbClr val="CC8C89"/>
            </a:solidFill>
            <a:ln w="12600">
              <a:solidFill>
                <a:srgbClr val="CC8C89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'15_Charts'!$V$9:$W$9</c:f>
              <c:numCache>
                <c:formatCode>#,##0.0</c:formatCode>
                <c:ptCount val="2"/>
                <c:pt idx="0">
                  <c:v>1225.98105544374</c:v>
                </c:pt>
                <c:pt idx="1">
                  <c:v>1257.92676794525</c:v>
                </c:pt>
              </c:numCache>
            </c:numRef>
          </c:val>
          <c:smooth val="1"/>
        </c:ser>
        <c:ser>
          <c:idx val="21"/>
          <c:order val="21"/>
          <c:tx>
            <c:strRef>
              <c:f>'15_Charts'!W9</c:f>
              <c:strCache>
                <c:ptCount val="1"/>
                <c:pt idx="0">
                  <c:v>1,257.9</c:v>
                </c:pt>
              </c:strCache>
            </c:strRef>
          </c:tx>
          <c:spPr>
            <a:solidFill>
              <a:srgbClr val="CE9594"/>
            </a:solidFill>
            <a:ln w="12600">
              <a:solidFill>
                <a:srgbClr val="CE9594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'15_Charts'!$W$9:$X$9</c:f>
              <c:numCache>
                <c:formatCode>#,##0.0</c:formatCode>
                <c:ptCount val="2"/>
                <c:pt idx="0">
                  <c:v>1257.92676794525</c:v>
                </c:pt>
                <c:pt idx="1">
                  <c:v>1284.77122770847</c:v>
                </c:pt>
              </c:numCache>
            </c:numRef>
          </c:val>
          <c:smooth val="1"/>
        </c:ser>
        <c:ser>
          <c:idx val="22"/>
          <c:order val="22"/>
          <c:tx>
            <c:strRef>
              <c:f>'15_Charts'!X9</c:f>
              <c:strCache>
                <c:ptCount val="1"/>
                <c:pt idx="0">
                  <c:v>1,284.8</c:v>
                </c:pt>
              </c:strCache>
            </c:strRef>
          </c:tx>
          <c:spPr>
            <a:solidFill>
              <a:srgbClr val="D19D9C"/>
            </a:solidFill>
            <a:ln w="12600">
              <a:solidFill>
                <a:srgbClr val="D19D9C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'15_Charts'!$X$9:$Y$9</c:f>
              <c:numCache>
                <c:formatCode>#,##0.0</c:formatCode>
                <c:ptCount val="2"/>
                <c:pt idx="0">
                  <c:v>1284.77122770847</c:v>
                </c:pt>
                <c:pt idx="1">
                  <c:v>1312.13823360091</c:v>
                </c:pt>
              </c:numCache>
            </c:numRef>
          </c:val>
          <c:smooth val="1"/>
        </c:ser>
        <c:ser>
          <c:idx val="23"/>
          <c:order val="23"/>
          <c:tx>
            <c:strRef>
              <c:f>'15_Charts'!Y9</c:f>
              <c:strCache>
                <c:ptCount val="1"/>
                <c:pt idx="0">
                  <c:v>1,312.1</c:v>
                </c:pt>
              </c:strCache>
            </c:strRef>
          </c:tx>
          <c:spPr>
            <a:solidFill>
              <a:srgbClr val="D4A5A4"/>
            </a:solidFill>
            <a:ln w="12600">
              <a:solidFill>
                <a:srgbClr val="D4A5A4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'15_Charts'!$Y$9:$Z$9</c:f>
              <c:numCache>
                <c:formatCode>#,##0.0</c:formatCode>
                <c:ptCount val="2"/>
                <c:pt idx="0">
                  <c:v>1312.13823360091</c:v>
                </c:pt>
                <c:pt idx="1">
                  <c:v>1340.03792647782</c:v>
                </c:pt>
              </c:numCache>
            </c:numRef>
          </c:val>
          <c:smooth val="1"/>
        </c:ser>
        <c:ser>
          <c:idx val="24"/>
          <c:order val="24"/>
          <c:tx>
            <c:strRef>
              <c:f>'15_Charts'!Z9</c:f>
              <c:strCache>
                <c:ptCount val="1"/>
                <c:pt idx="0">
                  <c:v>1,340.0</c:v>
                </c:pt>
              </c:strCache>
            </c:strRef>
          </c:tx>
          <c:spPr>
            <a:solidFill>
              <a:srgbClr val="D7ACAC"/>
            </a:solidFill>
            <a:ln w="12600">
              <a:solidFill>
                <a:srgbClr val="D7ACAC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'15_Charts'!$Z$9:$AA$9</c:f>
              <c:numCache>
                <c:formatCode>#,##0.0</c:formatCode>
                <c:ptCount val="2"/>
                <c:pt idx="0">
                  <c:v>1340.03792647782</c:v>
                </c:pt>
                <c:pt idx="1">
                  <c:v>1368.48064242598</c:v>
                </c:pt>
              </c:numCache>
            </c:numRef>
          </c:val>
          <c:smooth val="1"/>
        </c:ser>
        <c:ser>
          <c:idx val="25"/>
          <c:order val="25"/>
          <c:tx>
            <c:strRef>
              <c:f>'15_Charts'!AA9</c:f>
              <c:strCache>
                <c:ptCount val="1"/>
                <c:pt idx="0">
                  <c:v>1,368.5</c:v>
                </c:pt>
              </c:strCache>
            </c:strRef>
          </c:tx>
          <c:spPr>
            <a:solidFill>
              <a:srgbClr val="DAB2B2"/>
            </a:solidFill>
            <a:ln w="12600">
              <a:solidFill>
                <a:srgbClr val="DAB2B2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'15_Charts'!$AA$9:$AB$9</c:f>
              <c:numCache>
                <c:formatCode>#,##0.0</c:formatCode>
                <c:ptCount val="2"/>
                <c:pt idx="0">
                  <c:v>1368.48064242598</c:v>
                </c:pt>
                <c:pt idx="1">
                  <c:v>1397.47691647569</c:v>
                </c:pt>
              </c:numCache>
            </c:numRef>
          </c:val>
          <c:smooth val="1"/>
        </c:ser>
        <c:ser>
          <c:idx val="26"/>
          <c:order val="26"/>
          <c:tx>
            <c:strRef>
              <c:f>'15_Charts'!AB9</c:f>
              <c:strCache>
                <c:ptCount val="1"/>
                <c:pt idx="0">
                  <c:v>1,397.5</c:v>
                </c:pt>
              </c:strCache>
            </c:strRef>
          </c:tx>
          <c:spPr>
            <a:solidFill>
              <a:srgbClr val="DDB9B8"/>
            </a:solidFill>
            <a:ln w="12600">
              <a:solidFill>
                <a:srgbClr val="DDB9B8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'15_Charts'!$AB$9:$AC$9</c:f>
              <c:numCache>
                <c:formatCode>#,##0.0</c:formatCode>
                <c:ptCount val="2"/>
                <c:pt idx="0">
                  <c:v>1397.47691647569</c:v>
                </c:pt>
                <c:pt idx="1">
                  <c:v>1427.03748638187</c:v>
                </c:pt>
              </c:numCache>
            </c:numRef>
          </c:val>
          <c:smooth val="1"/>
        </c:ser>
        <c:ser>
          <c:idx val="27"/>
          <c:order val="27"/>
          <c:tx>
            <c:strRef>
              <c:f>'15_Charts'!AC9</c:f>
              <c:strCache>
                <c:ptCount val="1"/>
                <c:pt idx="0">
                  <c:v>1,427.0</c:v>
                </c:pt>
              </c:strCache>
            </c:strRef>
          </c:tx>
          <c:spPr>
            <a:solidFill>
              <a:srgbClr val="DEBFBF"/>
            </a:solidFill>
            <a:ln w="12600">
              <a:solidFill>
                <a:srgbClr val="DEBFBF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'15_Charts'!$AC$9:$AD$9</c:f>
              <c:numCache>
                <c:formatCode>#,##0.0</c:formatCode>
                <c:ptCount val="2"/>
                <c:pt idx="0">
                  <c:v>1427.03748638187</c:v>
                </c:pt>
                <c:pt idx="1">
                  <c:v>1457.17329647542</c:v>
                </c:pt>
              </c:numCache>
            </c:numRef>
          </c:val>
          <c:smooth val="1"/>
        </c:ser>
        <c:ser>
          <c:idx val="28"/>
          <c:order val="28"/>
          <c:tx>
            <c:strRef>
              <c:f>'15_Charts'!AD9</c:f>
              <c:strCache>
                <c:ptCount val="1"/>
                <c:pt idx="0">
                  <c:v>1,457.2</c:v>
                </c:pt>
              </c:strCache>
            </c:strRef>
          </c:tx>
          <c:spPr>
            <a:solidFill>
              <a:srgbClr val="E1C6C5"/>
            </a:solidFill>
            <a:ln w="12600">
              <a:solidFill>
                <a:srgbClr val="E1C6C5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'15_Charts'!$AD$9:$AE$9</c:f>
              <c:numCache>
                <c:formatCode>#,##0.0</c:formatCode>
                <c:ptCount val="2"/>
                <c:pt idx="0">
                  <c:v>1457.17329647542</c:v>
                </c:pt>
                <c:pt idx="1">
                  <c:v>1487.89550158617</c:v>
                </c:pt>
              </c:numCache>
            </c:numRef>
          </c:val>
          <c:smooth val="1"/>
        </c:ser>
        <c:ser>
          <c:idx val="29"/>
          <c:order val="29"/>
          <c:tx>
            <c:strRef>
              <c:f>'15_Charts'!AE9</c:f>
              <c:strCache>
                <c:ptCount val="1"/>
                <c:pt idx="0">
                  <c:v>1,487.9</c:v>
                </c:pt>
              </c:strCache>
            </c:strRef>
          </c:tx>
          <c:spPr>
            <a:solidFill>
              <a:srgbClr val="E4CBCB"/>
            </a:solidFill>
            <a:ln w="12600">
              <a:solidFill>
                <a:srgbClr val="E4CBCB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'15_Charts'!$AE$9:$AF$9</c:f>
              <c:numCache>
                <c:formatCode>#,##0.0</c:formatCode>
                <c:ptCount val="2"/>
                <c:pt idx="0">
                  <c:v>1487.89550158617</c:v>
                </c:pt>
                <c:pt idx="1">
                  <c:v>1519.21547103854</c:v>
                </c:pt>
              </c:numCache>
            </c:numRef>
          </c:val>
          <c:smooth val="1"/>
        </c:ser>
        <c:ser>
          <c:idx val="30"/>
          <c:order val="30"/>
          <c:tx>
            <c:strRef>
              <c:f>'15_Charts'!AF9</c:f>
              <c:strCache>
                <c:ptCount val="1"/>
                <c:pt idx="0">
                  <c:v>1,519.2</c:v>
                </c:pt>
              </c:strCache>
            </c:strRef>
          </c:tx>
          <c:spPr>
            <a:solidFill>
              <a:srgbClr val="E5D2D2"/>
            </a:solidFill>
            <a:ln w="12600">
              <a:solidFill>
                <a:srgbClr val="E5D2D2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'15_Charts'!$AF$9:$AG$9</c:f>
              <c:numCache>
                <c:formatCode>#,##0.0</c:formatCode>
                <c:ptCount val="2"/>
                <c:pt idx="0">
                  <c:v>1519.21547103854</c:v>
                </c:pt>
              </c:numCache>
            </c:numRef>
          </c:val>
          <c:smooth val="1"/>
        </c:ser>
        <c:hiLowLines>
          <c:spPr>
            <a:ln w="0">
              <a:noFill/>
            </a:ln>
          </c:spPr>
        </c:hiLowLines>
        <c:marker val="0"/>
        <c:axId val="53934021"/>
        <c:axId val="45614382"/>
      </c:lineChart>
      <c:catAx>
        <c:axId val="53934021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Year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45614382"/>
        <c:crosses val="autoZero"/>
        <c:auto val="1"/>
        <c:lblAlgn val="ctr"/>
        <c:lblOffset val="100"/>
        <c:noMultiLvlLbl val="0"/>
      </c:catAx>
      <c:valAx>
        <c:axId val="45614382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Net Income (USD M)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#,##0.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53934021"/>
        <c:crosses val="autoZero"/>
        <c:crossBetween val="between"/>
      </c:valAx>
      <c:spPr>
        <a:solidFill>
          <a:srgbClr val="FFFFFF"/>
        </a:solidFill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sz="1800" b="1" u="none" strike="noStrike">
                <a:solidFill>
                  <a:srgbClr val="000000"/>
                </a:solidFill>
                <a:uFillTx/>
                <a:latin typeface="Calibri"/>
              </a:rPr>
              <a:t>DSCR per year (target ≥ 1.30)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lineChart>
        <c:grouping val="standard"/>
        <c:varyColors val="0"/>
        <c:ser>
          <c:idx val="0"/>
          <c:order val="0"/>
          <c:tx>
            <c:strRef>
              <c:f>'15_Charts'!B10</c:f>
              <c:strCache>
                <c:ptCount val="1"/>
                <c:pt idx="0">
                  <c:v>DSCR</c:v>
                </c:pt>
              </c:strCache>
            </c:strRef>
          </c:tx>
          <c:spPr>
            <a:solidFill>
              <a:srgbClr val="5F7433"/>
            </a:solidFill>
            <a:ln w="12600">
              <a:solidFill>
                <a:srgbClr val="5F7433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'15_Charts'!$B$10:$C$10</c:f>
              <c:numCache>
                <c:formatCode>0.00</c:formatCode>
                <c:ptCount val="2"/>
                <c:pt idx="1">
                  <c:v>-0.791331242638706</c:v>
                </c:pt>
              </c:numCache>
            </c:numRef>
          </c:val>
          <c:smooth val="1"/>
        </c:ser>
        <c:ser>
          <c:idx val="1"/>
          <c:order val="1"/>
          <c:tx>
            <c:strRef>
              <c:f>'15_Charts'!C10</c:f>
              <c:strCache>
                <c:ptCount val="1"/>
                <c:pt idx="0">
                  <c:v>-0.79</c:v>
                </c:pt>
              </c:strCache>
            </c:strRef>
          </c:tx>
          <c:spPr>
            <a:solidFill>
              <a:srgbClr val="647A36"/>
            </a:solidFill>
            <a:ln w="12600">
              <a:solidFill>
                <a:srgbClr val="647A36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'15_Charts'!$C$10:$D$10</c:f>
              <c:numCache>
                <c:formatCode>0.00</c:formatCode>
                <c:ptCount val="2"/>
                <c:pt idx="0">
                  <c:v>-0.791331242638706</c:v>
                </c:pt>
                <c:pt idx="1">
                  <c:v>-0.787375584091239</c:v>
                </c:pt>
              </c:numCache>
            </c:numRef>
          </c:val>
          <c:smooth val="1"/>
        </c:ser>
        <c:ser>
          <c:idx val="2"/>
          <c:order val="2"/>
          <c:tx>
            <c:strRef>
              <c:f>'15_Charts'!D10</c:f>
              <c:strCache>
                <c:ptCount val="1"/>
                <c:pt idx="0">
                  <c:v>-0.79</c:v>
                </c:pt>
              </c:strCache>
            </c:strRef>
          </c:tx>
          <c:spPr>
            <a:solidFill>
              <a:srgbClr val="698039"/>
            </a:solidFill>
            <a:ln w="12600">
              <a:solidFill>
                <a:srgbClr val="698039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'15_Charts'!$D$10:$E$10</c:f>
              <c:numCache>
                <c:formatCode>0.00</c:formatCode>
                <c:ptCount val="2"/>
                <c:pt idx="0">
                  <c:v>-0.787375584091239</c:v>
                </c:pt>
                <c:pt idx="1">
                  <c:v>2.77963455476623</c:v>
                </c:pt>
              </c:numCache>
            </c:numRef>
          </c:val>
          <c:smooth val="1"/>
        </c:ser>
        <c:ser>
          <c:idx val="3"/>
          <c:order val="3"/>
          <c:tx>
            <c:strRef>
              <c:f>'15_Charts'!E10</c:f>
              <c:strCache>
                <c:ptCount val="1"/>
                <c:pt idx="0">
                  <c:v>2.78</c:v>
                </c:pt>
              </c:strCache>
            </c:strRef>
          </c:tx>
          <c:spPr>
            <a:solidFill>
              <a:srgbClr val="6E863C"/>
            </a:solidFill>
            <a:ln w="12600">
              <a:solidFill>
                <a:srgbClr val="6E863C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'15_Charts'!$E$10:$F$10</c:f>
              <c:numCache>
                <c:formatCode>0.00</c:formatCode>
                <c:ptCount val="2"/>
                <c:pt idx="0">
                  <c:v>2.77963455476623</c:v>
                </c:pt>
                <c:pt idx="1">
                  <c:v>2.86442989648621</c:v>
                </c:pt>
              </c:numCache>
            </c:numRef>
          </c:val>
          <c:smooth val="1"/>
        </c:ser>
        <c:ser>
          <c:idx val="4"/>
          <c:order val="4"/>
          <c:tx>
            <c:strRef>
              <c:f>'15_Charts'!F10</c:f>
              <c:strCache>
                <c:ptCount val="1"/>
                <c:pt idx="0">
                  <c:v>2.86</c:v>
                </c:pt>
              </c:strCache>
            </c:strRef>
          </c:tx>
          <c:spPr>
            <a:solidFill>
              <a:srgbClr val="728A3E"/>
            </a:solidFill>
            <a:ln w="12600">
              <a:solidFill>
                <a:srgbClr val="728A3E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'15_Charts'!$F$10:$G$10</c:f>
              <c:numCache>
                <c:formatCode>0.00</c:formatCode>
                <c:ptCount val="2"/>
                <c:pt idx="0">
                  <c:v>2.86442989648621</c:v>
                </c:pt>
                <c:pt idx="1">
                  <c:v>3.02900664083704</c:v>
                </c:pt>
              </c:numCache>
            </c:numRef>
          </c:val>
          <c:smooth val="1"/>
        </c:ser>
        <c:ser>
          <c:idx val="5"/>
          <c:order val="5"/>
          <c:tx>
            <c:strRef>
              <c:f>'15_Charts'!G10</c:f>
              <c:strCache>
                <c:ptCount val="1"/>
                <c:pt idx="0">
                  <c:v>3.03</c:v>
                </c:pt>
              </c:strCache>
            </c:strRef>
          </c:tx>
          <c:spPr>
            <a:solidFill>
              <a:srgbClr val="768F41"/>
            </a:solidFill>
            <a:ln w="12600">
              <a:solidFill>
                <a:srgbClr val="768F41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'15_Charts'!$G$10:$H$10</c:f>
              <c:numCache>
                <c:formatCode>0.00</c:formatCode>
                <c:ptCount val="2"/>
                <c:pt idx="0">
                  <c:v>3.02900664083704</c:v>
                </c:pt>
                <c:pt idx="1">
                  <c:v>3.12151173722806</c:v>
                </c:pt>
              </c:numCache>
            </c:numRef>
          </c:val>
          <c:smooth val="1"/>
        </c:ser>
        <c:ser>
          <c:idx val="6"/>
          <c:order val="6"/>
          <c:tx>
            <c:strRef>
              <c:f>'15_Charts'!H10</c:f>
              <c:strCache>
                <c:ptCount val="1"/>
                <c:pt idx="0">
                  <c:v>3.12</c:v>
                </c:pt>
              </c:strCache>
            </c:strRef>
          </c:tx>
          <c:spPr>
            <a:solidFill>
              <a:srgbClr val="7A9443"/>
            </a:solidFill>
            <a:ln w="12600">
              <a:solidFill>
                <a:srgbClr val="7A9443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'15_Charts'!$H$10:$I$10</c:f>
              <c:numCache>
                <c:formatCode>0.00</c:formatCode>
                <c:ptCount val="2"/>
                <c:pt idx="0">
                  <c:v>3.12151173722806</c:v>
                </c:pt>
                <c:pt idx="1">
                  <c:v>3.21743504253483</c:v>
                </c:pt>
              </c:numCache>
            </c:numRef>
          </c:val>
          <c:smooth val="1"/>
        </c:ser>
        <c:ser>
          <c:idx val="7"/>
          <c:order val="7"/>
          <c:tx>
            <c:strRef>
              <c:f>'15_Charts'!I10</c:f>
              <c:strCache>
                <c:ptCount val="1"/>
                <c:pt idx="0">
                  <c:v>3.22</c:v>
                </c:pt>
              </c:strCache>
            </c:strRef>
          </c:tx>
          <c:spPr>
            <a:solidFill>
              <a:srgbClr val="7E9945"/>
            </a:solidFill>
            <a:ln w="12600">
              <a:solidFill>
                <a:srgbClr val="7E9945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'15_Charts'!$I$10:$J$10</c:f>
              <c:numCache>
                <c:formatCode>0.00</c:formatCode>
                <c:ptCount val="2"/>
                <c:pt idx="0">
                  <c:v>3.21743504253483</c:v>
                </c:pt>
                <c:pt idx="1">
                  <c:v>3.31700140043015</c:v>
                </c:pt>
              </c:numCache>
            </c:numRef>
          </c:val>
          <c:smooth val="1"/>
        </c:ser>
        <c:ser>
          <c:idx val="8"/>
          <c:order val="8"/>
          <c:tx>
            <c:strRef>
              <c:f>'15_Charts'!J10</c:f>
              <c:strCache>
                <c:ptCount val="1"/>
                <c:pt idx="0">
                  <c:v>3.32</c:v>
                </c:pt>
              </c:strCache>
            </c:strRef>
          </c:tx>
          <c:spPr>
            <a:solidFill>
              <a:srgbClr val="829D47"/>
            </a:solidFill>
            <a:ln w="12600">
              <a:solidFill>
                <a:srgbClr val="829D47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'15_Charts'!$J$10:$K$10</c:f>
              <c:numCache>
                <c:formatCode>0.00</c:formatCode>
                <c:ptCount val="2"/>
                <c:pt idx="0">
                  <c:v>3.31700140043015</c:v>
                </c:pt>
                <c:pt idx="1">
                  <c:v>3.4204557955738</c:v>
                </c:pt>
              </c:numCache>
            </c:numRef>
          </c:val>
          <c:smooth val="1"/>
        </c:ser>
        <c:ser>
          <c:idx val="9"/>
          <c:order val="9"/>
          <c:tx>
            <c:strRef>
              <c:f>'15_Charts'!K10</c:f>
              <c:strCache>
                <c:ptCount val="1"/>
                <c:pt idx="0">
                  <c:v>3.42</c:v>
                </c:pt>
              </c:strCache>
            </c:strRef>
          </c:tx>
          <c:spPr>
            <a:solidFill>
              <a:srgbClr val="85A149"/>
            </a:solidFill>
            <a:ln w="12600">
              <a:solidFill>
                <a:srgbClr val="85A149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'15_Charts'!$K$10:$L$10</c:f>
              <c:numCache>
                <c:formatCode>0.00</c:formatCode>
                <c:ptCount val="2"/>
                <c:pt idx="0">
                  <c:v>3.4204557955738</c:v>
                </c:pt>
                <c:pt idx="1">
                  <c:v>3.52806533695134</c:v>
                </c:pt>
              </c:numCache>
            </c:numRef>
          </c:val>
          <c:smooth val="1"/>
        </c:ser>
        <c:ser>
          <c:idx val="10"/>
          <c:order val="10"/>
          <c:tx>
            <c:strRef>
              <c:f>'15_Charts'!L10</c:f>
              <c:strCache>
                <c:ptCount val="1"/>
                <c:pt idx="0">
                  <c:v>3.53</c:v>
                </c:pt>
              </c:strCache>
            </c:strRef>
          </c:tx>
          <c:spPr>
            <a:solidFill>
              <a:srgbClr val="88A54B"/>
            </a:solidFill>
            <a:ln w="12600">
              <a:solidFill>
                <a:srgbClr val="88A54B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'15_Charts'!$L$10:$M$10</c:f>
              <c:numCache>
                <c:formatCode>0.00</c:formatCode>
                <c:ptCount val="2"/>
                <c:pt idx="0">
                  <c:v>3.52806533695134</c:v>
                </c:pt>
                <c:pt idx="1">
                  <c:v>2.92917547466285</c:v>
                </c:pt>
              </c:numCache>
            </c:numRef>
          </c:val>
          <c:smooth val="1"/>
        </c:ser>
        <c:ser>
          <c:idx val="11"/>
          <c:order val="11"/>
          <c:tx>
            <c:strRef>
              <c:f>'15_Charts'!M10</c:f>
              <c:strCache>
                <c:ptCount val="1"/>
                <c:pt idx="0">
                  <c:v>2.93</c:v>
                </c:pt>
              </c:strCache>
            </c:strRef>
          </c:tx>
          <c:spPr>
            <a:solidFill>
              <a:srgbClr val="8BA94D"/>
            </a:solidFill>
            <a:ln w="12600">
              <a:solidFill>
                <a:srgbClr val="8BA94D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'15_Charts'!$M$10:$N$10</c:f>
              <c:numCache>
                <c:formatCode>0.00</c:formatCode>
                <c:ptCount val="2"/>
                <c:pt idx="0">
                  <c:v>2.92917547466285</c:v>
                </c:pt>
                <c:pt idx="1">
                  <c:v>3.02015096548604</c:v>
                </c:pt>
              </c:numCache>
            </c:numRef>
          </c:val>
          <c:smooth val="1"/>
        </c:ser>
        <c:ser>
          <c:idx val="12"/>
          <c:order val="12"/>
          <c:tx>
            <c:strRef>
              <c:f>'15_Charts'!N10</c:f>
              <c:strCache>
                <c:ptCount val="1"/>
                <c:pt idx="0">
                  <c:v>3.02</c:v>
                </c:pt>
              </c:strCache>
            </c:strRef>
          </c:tx>
          <c:spPr>
            <a:solidFill>
              <a:srgbClr val="8EAD4F"/>
            </a:solidFill>
            <a:ln w="12600">
              <a:solidFill>
                <a:srgbClr val="8EAD4F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'15_Charts'!$N$10:$O$10</c:f>
              <c:numCache>
                <c:formatCode>0.00</c:formatCode>
                <c:ptCount val="2"/>
                <c:pt idx="0">
                  <c:v>3.02015096548604</c:v>
                </c:pt>
                <c:pt idx="1">
                  <c:v>3.11510763200096</c:v>
                </c:pt>
              </c:numCache>
            </c:numRef>
          </c:val>
          <c:smooth val="1"/>
        </c:ser>
        <c:ser>
          <c:idx val="13"/>
          <c:order val="13"/>
          <c:tx>
            <c:strRef>
              <c:f>'15_Charts'!O10</c:f>
              <c:strCache>
                <c:ptCount val="1"/>
                <c:pt idx="0">
                  <c:v>3.12</c:v>
                </c:pt>
              </c:strCache>
            </c:strRef>
          </c:tx>
          <c:spPr>
            <a:solidFill>
              <a:srgbClr val="91B151"/>
            </a:solidFill>
            <a:ln w="12600">
              <a:solidFill>
                <a:srgbClr val="91B151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'15_Charts'!$O$10:$P$10</c:f>
              <c:numCache>
                <c:formatCode>0.00</c:formatCode>
                <c:ptCount val="2"/>
                <c:pt idx="0">
                  <c:v>3.11510763200096</c:v>
                </c:pt>
                <c:pt idx="1">
                  <c:v>3.21434123149573</c:v>
                </c:pt>
              </c:numCache>
            </c:numRef>
          </c:val>
          <c:smooth val="1"/>
        </c:ser>
        <c:ser>
          <c:idx val="14"/>
          <c:order val="14"/>
          <c:tx>
            <c:strRef>
              <c:f>'15_Charts'!P10</c:f>
              <c:strCache>
                <c:ptCount val="1"/>
                <c:pt idx="0">
                  <c:v>3.21</c:v>
                </c:pt>
              </c:strCache>
            </c:strRef>
          </c:tx>
          <c:spPr>
            <a:solidFill>
              <a:srgbClr val="95B453"/>
            </a:solidFill>
            <a:ln w="12600">
              <a:solidFill>
                <a:srgbClr val="95B453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'15_Charts'!$P$10:$Q$10</c:f>
              <c:numCache>
                <c:formatCode>0.00</c:formatCode>
                <c:ptCount val="2"/>
                <c:pt idx="0">
                  <c:v>3.21434123149573</c:v>
                </c:pt>
                <c:pt idx="1">
                  <c:v>3.31817516676536</c:v>
                </c:pt>
              </c:numCache>
            </c:numRef>
          </c:val>
          <c:smooth val="1"/>
        </c:ser>
        <c:ser>
          <c:idx val="15"/>
          <c:order val="15"/>
          <c:tx>
            <c:strRef>
              <c:f>'15_Charts'!Q10</c:f>
              <c:strCache>
                <c:ptCount val="1"/>
                <c:pt idx="0">
                  <c:v>3.32</c:v>
                </c:pt>
              </c:strCache>
            </c:strRef>
          </c:tx>
          <c:spPr>
            <a:solidFill>
              <a:srgbClr val="98B855"/>
            </a:solidFill>
            <a:ln w="12600">
              <a:solidFill>
                <a:srgbClr val="98B855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'15_Charts'!$Q$10:$R$10</c:f>
              <c:numCache>
                <c:formatCode>0.00</c:formatCode>
                <c:ptCount val="2"/>
                <c:pt idx="0">
                  <c:v>3.31817516676536</c:v>
                </c:pt>
                <c:pt idx="1">
                  <c:v>3.42696324561288</c:v>
                </c:pt>
              </c:numCache>
            </c:numRef>
          </c:val>
          <c:smooth val="1"/>
        </c:ser>
        <c:ser>
          <c:idx val="16"/>
          <c:order val="16"/>
          <c:tx>
            <c:strRef>
              <c:f>'15_Charts'!R10</c:f>
              <c:strCache>
                <c:ptCount val="1"/>
                <c:pt idx="0">
                  <c:v>3.43</c:v>
                </c:pt>
              </c:strCache>
            </c:strRef>
          </c:tx>
          <c:spPr>
            <a:solidFill>
              <a:srgbClr val="9EBB63"/>
            </a:solidFill>
            <a:ln w="12600">
              <a:solidFill>
                <a:srgbClr val="9EBB63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'15_Charts'!$R$10:$S$10</c:f>
              <c:numCache>
                <c:formatCode>0.00</c:formatCode>
                <c:ptCount val="2"/>
                <c:pt idx="0">
                  <c:v>3.42696324561288</c:v>
                </c:pt>
                <c:pt idx="1">
                  <c:v>3.54109272153329</c:v>
                </c:pt>
              </c:numCache>
            </c:numRef>
          </c:val>
          <c:smooth val="1"/>
        </c:ser>
        <c:ser>
          <c:idx val="17"/>
          <c:order val="17"/>
          <c:tx>
            <c:strRef>
              <c:f>'15_Charts'!S10</c:f>
              <c:strCache>
                <c:ptCount val="1"/>
                <c:pt idx="0">
                  <c:v>3.54</c:v>
                </c:pt>
              </c:strCache>
            </c:strRef>
          </c:tx>
          <c:spPr>
            <a:solidFill>
              <a:srgbClr val="A4BF70"/>
            </a:solidFill>
            <a:ln w="12600">
              <a:solidFill>
                <a:srgbClr val="A4BF70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'15_Charts'!$S$10:$T$10</c:f>
              <c:numCache>
                <c:formatCode>0.00</c:formatCode>
                <c:ptCount val="2"/>
                <c:pt idx="0">
                  <c:v>3.54109272153329</c:v>
                </c:pt>
                <c:pt idx="1">
                  <c:v>3.66098764450404</c:v>
                </c:pt>
              </c:numCache>
            </c:numRef>
          </c:val>
          <c:smooth val="1"/>
        </c:ser>
        <c:ser>
          <c:idx val="18"/>
          <c:order val="18"/>
          <c:tx>
            <c:strRef>
              <c:f>'15_Charts'!T10</c:f>
              <c:strCache>
                <c:ptCount val="1"/>
                <c:pt idx="0">
                  <c:v>3.66</c:v>
                </c:pt>
              </c:strCache>
            </c:strRef>
          </c:tx>
          <c:spPr>
            <a:solidFill>
              <a:srgbClr val="A8C27B"/>
            </a:solidFill>
            <a:ln w="12600">
              <a:solidFill>
                <a:srgbClr val="A8C27B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'15_Charts'!$T$10:$U$10</c:f>
              <c:numCache>
                <c:formatCode>0.00</c:formatCode>
                <c:ptCount val="2"/>
                <c:pt idx="0">
                  <c:v>3.66098764450404</c:v>
                </c:pt>
                <c:pt idx="1">
                  <c:v>11.0455402214268</c:v>
                </c:pt>
              </c:numCache>
            </c:numRef>
          </c:val>
          <c:smooth val="1"/>
        </c:ser>
        <c:ser>
          <c:idx val="19"/>
          <c:order val="19"/>
          <c:tx>
            <c:strRef>
              <c:f>'15_Charts'!U10</c:f>
              <c:strCache>
                <c:ptCount val="1"/>
                <c:pt idx="0">
                  <c:v>11.05</c:v>
                </c:pt>
              </c:strCache>
            </c:strRef>
          </c:tx>
          <c:spPr>
            <a:solidFill>
              <a:srgbClr val="AEC685"/>
            </a:solidFill>
            <a:ln w="12600">
              <a:solidFill>
                <a:srgbClr val="AEC685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'15_Charts'!$U$10:$V$10</c:f>
              <c:numCache>
                <c:formatCode>0.00</c:formatCode>
                <c:ptCount val="2"/>
                <c:pt idx="0">
                  <c:v>11.0455402214268</c:v>
                </c:pt>
                <c:pt idx="1">
                  <c:v>11.3002317684425</c:v>
                </c:pt>
              </c:numCache>
            </c:numRef>
          </c:val>
          <c:smooth val="1"/>
        </c:ser>
        <c:ser>
          <c:idx val="20"/>
          <c:order val="20"/>
          <c:tx>
            <c:strRef>
              <c:f>'15_Charts'!V10</c:f>
              <c:strCache>
                <c:ptCount val="1"/>
                <c:pt idx="0">
                  <c:v>11.30</c:v>
                </c:pt>
              </c:strCache>
            </c:strRef>
          </c:tx>
          <c:spPr>
            <a:solidFill>
              <a:srgbClr val="B2C88F"/>
            </a:solidFill>
            <a:ln w="12600">
              <a:solidFill>
                <a:srgbClr val="B2C88F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'15_Charts'!$V$10:$W$10</c:f>
              <c:numCache>
                <c:formatCode>0.00</c:formatCode>
                <c:ptCount val="2"/>
                <c:pt idx="0">
                  <c:v>11.3002317684425</c:v>
                </c:pt>
              </c:numCache>
            </c:numRef>
          </c:val>
          <c:smooth val="1"/>
        </c:ser>
        <c:ser>
          <c:idx val="21"/>
          <c:order val="21"/>
          <c:tx>
            <c:strRef>
              <c:f>'15_Charts'!W10</c:f>
              <c:strCache>
                <c:ptCount val="1"/>
                <c:pt idx="0">
                  <c:v/>
                </c:pt>
              </c:strCache>
            </c:strRef>
          </c:tx>
          <c:spPr>
            <a:solidFill>
              <a:srgbClr val="B7CB98"/>
            </a:solidFill>
            <a:ln w="12600">
              <a:solidFill>
                <a:srgbClr val="B7CB98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'15_Charts'!$W$10:$X$10</c:f>
              <c:numCache>
                <c:formatCode>General</c:formatCode>
                <c:ptCount val="2"/>
              </c:numCache>
            </c:numRef>
          </c:val>
          <c:smooth val="1"/>
        </c:ser>
        <c:ser>
          <c:idx val="22"/>
          <c:order val="22"/>
          <c:tx>
            <c:strRef>
              <c:f>'15_Charts'!X10</c:f>
              <c:strCache>
                <c:ptCount val="1"/>
                <c:pt idx="0">
                  <c:v/>
                </c:pt>
              </c:strCache>
            </c:strRef>
          </c:tx>
          <c:spPr>
            <a:solidFill>
              <a:srgbClr val="BCCEA0"/>
            </a:solidFill>
            <a:ln w="12600">
              <a:solidFill>
                <a:srgbClr val="BCCEA0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'15_Charts'!$X$10:$Y$10</c:f>
              <c:numCache>
                <c:formatCode>General</c:formatCode>
                <c:ptCount val="2"/>
              </c:numCache>
            </c:numRef>
          </c:val>
          <c:smooth val="1"/>
        </c:ser>
        <c:ser>
          <c:idx val="23"/>
          <c:order val="23"/>
          <c:tx>
            <c:strRef>
              <c:f>'15_Charts'!Y10</c:f>
              <c:strCache>
                <c:ptCount val="1"/>
                <c:pt idx="0">
                  <c:v/>
                </c:pt>
              </c:strCache>
            </c:strRef>
          </c:tx>
          <c:spPr>
            <a:solidFill>
              <a:srgbClr val="C0D2A7"/>
            </a:solidFill>
            <a:ln w="12600">
              <a:solidFill>
                <a:srgbClr val="C0D2A7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'15_Charts'!$Y$10:$Z$10</c:f>
              <c:numCache>
                <c:formatCode>General</c:formatCode>
                <c:ptCount val="2"/>
              </c:numCache>
            </c:numRef>
          </c:val>
          <c:smooth val="1"/>
        </c:ser>
        <c:ser>
          <c:idx val="24"/>
          <c:order val="24"/>
          <c:tx>
            <c:strRef>
              <c:f>'15_Charts'!Z10</c:f>
              <c:strCache>
                <c:ptCount val="1"/>
                <c:pt idx="0">
                  <c:v/>
                </c:pt>
              </c:strCache>
            </c:strRef>
          </c:tx>
          <c:spPr>
            <a:solidFill>
              <a:srgbClr val="C5D5AE"/>
            </a:solidFill>
            <a:ln w="12600">
              <a:solidFill>
                <a:srgbClr val="C5D5AE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'15_Charts'!$Z$10:$AA$10</c:f>
              <c:numCache>
                <c:formatCode>General</c:formatCode>
                <c:ptCount val="2"/>
              </c:numCache>
            </c:numRef>
          </c:val>
          <c:smooth val="1"/>
        </c:ser>
        <c:ser>
          <c:idx val="25"/>
          <c:order val="25"/>
          <c:tx>
            <c:strRef>
              <c:f>'15_Charts'!AA10</c:f>
              <c:strCache>
                <c:ptCount val="1"/>
                <c:pt idx="0">
                  <c:v/>
                </c:pt>
              </c:strCache>
            </c:strRef>
          </c:tx>
          <c:spPr>
            <a:solidFill>
              <a:srgbClr val="C9D8B4"/>
            </a:solidFill>
            <a:ln w="12600">
              <a:solidFill>
                <a:srgbClr val="C9D8B4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'15_Charts'!$AA$10:$AB$10</c:f>
              <c:numCache>
                <c:formatCode>General</c:formatCode>
                <c:ptCount val="2"/>
              </c:numCache>
            </c:numRef>
          </c:val>
          <c:smooth val="1"/>
        </c:ser>
        <c:ser>
          <c:idx val="26"/>
          <c:order val="26"/>
          <c:tx>
            <c:strRef>
              <c:f>'15_Charts'!AB10</c:f>
              <c:strCache>
                <c:ptCount val="1"/>
                <c:pt idx="0">
                  <c:v/>
                </c:pt>
              </c:strCache>
            </c:strRef>
          </c:tx>
          <c:spPr>
            <a:solidFill>
              <a:srgbClr val="CDDBBB"/>
            </a:solidFill>
            <a:ln w="12600">
              <a:solidFill>
                <a:srgbClr val="CDDBBB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'15_Charts'!$AB$10:$AC$10</c:f>
              <c:numCache>
                <c:formatCode>General</c:formatCode>
                <c:ptCount val="2"/>
              </c:numCache>
            </c:numRef>
          </c:val>
          <c:smooth val="1"/>
        </c:ser>
        <c:ser>
          <c:idx val="27"/>
          <c:order val="27"/>
          <c:tx>
            <c:strRef>
              <c:f>'15_Charts'!AC10</c:f>
              <c:strCache>
                <c:ptCount val="1"/>
                <c:pt idx="0">
                  <c:v/>
                </c:pt>
              </c:strCache>
            </c:strRef>
          </c:tx>
          <c:spPr>
            <a:solidFill>
              <a:srgbClr val="D2DEC1"/>
            </a:solidFill>
            <a:ln w="12600">
              <a:solidFill>
                <a:srgbClr val="D2DEC1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'15_Charts'!$AC$10:$AD$10</c:f>
              <c:numCache>
                <c:formatCode>General</c:formatCode>
                <c:ptCount val="2"/>
              </c:numCache>
            </c:numRef>
          </c:val>
          <c:smooth val="1"/>
        </c:ser>
        <c:ser>
          <c:idx val="28"/>
          <c:order val="28"/>
          <c:tx>
            <c:strRef>
              <c:f>'15_Charts'!AD10</c:f>
              <c:strCache>
                <c:ptCount val="1"/>
                <c:pt idx="0">
                  <c:v/>
                </c:pt>
              </c:strCache>
            </c:strRef>
          </c:tx>
          <c:spPr>
            <a:solidFill>
              <a:srgbClr val="D6DFC7"/>
            </a:solidFill>
            <a:ln w="12600">
              <a:solidFill>
                <a:srgbClr val="D6DFC7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'15_Charts'!$AD$10:$AE$10</c:f>
              <c:numCache>
                <c:formatCode>General</c:formatCode>
                <c:ptCount val="2"/>
              </c:numCache>
            </c:numRef>
          </c:val>
          <c:smooth val="1"/>
        </c:ser>
        <c:ser>
          <c:idx val="29"/>
          <c:order val="29"/>
          <c:tx>
            <c:strRef>
              <c:f>'15_Charts'!AE10</c:f>
              <c:strCache>
                <c:ptCount val="1"/>
                <c:pt idx="0">
                  <c:v/>
                </c:pt>
              </c:strCache>
            </c:strRef>
          </c:tx>
          <c:spPr>
            <a:solidFill>
              <a:srgbClr val="DAE1CE"/>
            </a:solidFill>
            <a:ln w="12600">
              <a:solidFill>
                <a:srgbClr val="DAE1CE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'15_Charts'!$AE$10:$AF$10</c:f>
              <c:numCache>
                <c:formatCode>General</c:formatCode>
                <c:ptCount val="2"/>
              </c:numCache>
            </c:numRef>
          </c:val>
          <c:smooth val="1"/>
        </c:ser>
        <c:ser>
          <c:idx val="30"/>
          <c:order val="30"/>
          <c:tx>
            <c:strRef>
              <c:f>'15_Charts'!AF10</c:f>
              <c:strCache>
                <c:ptCount val="1"/>
                <c:pt idx="0">
                  <c:v/>
                </c:pt>
              </c:strCache>
            </c:strRef>
          </c:tx>
          <c:spPr>
            <a:solidFill>
              <a:srgbClr val="DDE4D3"/>
            </a:solidFill>
            <a:ln w="12600">
              <a:solidFill>
                <a:srgbClr val="DDE4D3"/>
              </a:solidFill>
              <a:round/>
            </a:ln>
          </c:spPr>
          <c:marker>
            <c:symbol val="none"/>
          </c:marker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r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12600">
                  <a:solidFill>
                    <a:srgbClr val="000000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'15_Charts'!$AF$10:$AG$10</c:f>
              <c:numCache>
                <c:formatCode>General</c:formatCode>
                <c:ptCount val="2"/>
              </c:numCache>
            </c:numRef>
          </c:val>
          <c:smooth val="1"/>
        </c:ser>
        <c:hiLowLines>
          <c:spPr>
            <a:ln w="0">
              <a:noFill/>
            </a:ln>
          </c:spPr>
        </c:hiLowLines>
        <c:marker val="0"/>
        <c:axId val="81820108"/>
        <c:axId val="33842834"/>
      </c:lineChart>
      <c:catAx>
        <c:axId val="81820108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Year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33842834"/>
        <c:crosses val="autoZero"/>
        <c:auto val="1"/>
        <c:lblAlgn val="ctr"/>
        <c:lblOffset val="100"/>
        <c:noMultiLvlLbl val="0"/>
      </c:catAx>
      <c:valAx>
        <c:axId val="33842834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DSCR (×)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0.0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81820108"/>
        <c:crosses val="autoZero"/>
        <c:crossBetween val="between"/>
      </c:valAx>
      <c:spPr>
        <a:solidFill>
          <a:srgbClr val="FFFFFF"/>
        </a:solidFill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roundedCorners val="0"/>
  <c:chart>
    <c:title>
      <c:tx>
        <c:rich>
          <a:bodyPr rot="0"/>
          <a:lstStyle/>
          <a:p>
            <a:pPr>
              <a:defRPr sz="1300" b="0" u="none" strike="noStrike">
                <a:uFillTx/>
                <a:latin typeface="Arial"/>
              </a:defRPr>
            </a:pPr>
            <a:r>
              <a:rPr sz="1800" b="1" u="none" strike="noStrike">
                <a:solidFill>
                  <a:srgbClr val="000000"/>
                </a:solidFill>
                <a:uFillTx/>
                <a:latin typeface="Calibri"/>
              </a:rPr>
              <a:t>Family LR&amp;M annual cash flow (USD M)</a:t>
            </a:r>
          </a:p>
        </c:rich>
      </c:tx>
      <c:overlay val="0"/>
      <c:spPr>
        <a:noFill/>
        <a:ln w="0">
          <a:noFill/>
        </a:ln>
      </c:spPr>
    </c:title>
    <c:autoTitleDeleted val="0"/>
    <c:plotArea>
      <c:barChart>
        <c:barDir val="col"/>
        <c:grouping val="clustered"/>
        <c:varyColors val="0"/>
        <c:ser>
          <c:idx val="0"/>
          <c:order val="0"/>
          <c:tx>
            <c:strRef>
              <c:f>'15_Charts'!B11</c:f>
              <c:strCache>
                <c:ptCount val="1"/>
                <c:pt idx="0">
                  <c:v>Family CF</c:v>
                </c:pt>
              </c:strCache>
            </c:strRef>
          </c:tx>
          <c:spPr>
            <a:solidFill>
              <a:srgbClr val="503E65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'15_Charts'!$B$11:$C$11</c:f>
              <c:numCache>
                <c:formatCode>#,##0.000</c:formatCode>
                <c:ptCount val="2"/>
                <c:pt idx="1">
                  <c:v>0.362130952941177</c:v>
                </c:pt>
              </c:numCache>
            </c:numRef>
          </c:val>
        </c:ser>
        <c:ser>
          <c:idx val="1"/>
          <c:order val="1"/>
          <c:tx>
            <c:strRef>
              <c:f>'15_Charts'!C11</c:f>
              <c:strCache>
                <c:ptCount val="1"/>
                <c:pt idx="0">
                  <c:v>0.362</c:v>
                </c:pt>
              </c:strCache>
            </c:strRef>
          </c:tx>
          <c:spPr>
            <a:solidFill>
              <a:srgbClr val="54426B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'15_Charts'!$C$11:$D$11</c:f>
              <c:numCache>
                <c:formatCode>#,##0.000</c:formatCode>
                <c:ptCount val="2"/>
                <c:pt idx="0">
                  <c:v>0.362130952941177</c:v>
                </c:pt>
                <c:pt idx="1">
                  <c:v>0.367708728176471</c:v>
                </c:pt>
              </c:numCache>
            </c:numRef>
          </c:val>
        </c:ser>
        <c:ser>
          <c:idx val="2"/>
          <c:order val="2"/>
          <c:tx>
            <c:strRef>
              <c:f>'15_Charts'!D11</c:f>
              <c:strCache>
                <c:ptCount val="1"/>
                <c:pt idx="0">
                  <c:v>0.368</c:v>
                </c:pt>
              </c:strCache>
            </c:strRef>
          </c:tx>
          <c:spPr>
            <a:solidFill>
              <a:srgbClr val="584570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'15_Charts'!$D$11:$E$11</c:f>
              <c:numCache>
                <c:formatCode>#,##0.000</c:formatCode>
                <c:ptCount val="2"/>
                <c:pt idx="0">
                  <c:v>0.367708728176471</c:v>
                </c:pt>
                <c:pt idx="1">
                  <c:v>75.9352329901391</c:v>
                </c:pt>
              </c:numCache>
            </c:numRef>
          </c:val>
        </c:ser>
        <c:ser>
          <c:idx val="3"/>
          <c:order val="3"/>
          <c:tx>
            <c:strRef>
              <c:f>'15_Charts'!E11</c:f>
              <c:strCache>
                <c:ptCount val="1"/>
                <c:pt idx="0">
                  <c:v>75.935</c:v>
                </c:pt>
              </c:strCache>
            </c:strRef>
          </c:tx>
          <c:spPr>
            <a:solidFill>
              <a:srgbClr val="5C4875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'15_Charts'!$E$11:$F$11</c:f>
              <c:numCache>
                <c:formatCode>#,##0.000</c:formatCode>
                <c:ptCount val="2"/>
                <c:pt idx="0">
                  <c:v>75.9352329901391</c:v>
                </c:pt>
                <c:pt idx="1">
                  <c:v>77.8692004977211</c:v>
                </c:pt>
              </c:numCache>
            </c:numRef>
          </c:val>
        </c:ser>
        <c:ser>
          <c:idx val="4"/>
          <c:order val="4"/>
          <c:tx>
            <c:strRef>
              <c:f>'15_Charts'!F11</c:f>
              <c:strCache>
                <c:ptCount val="1"/>
                <c:pt idx="0">
                  <c:v>77.869</c:v>
                </c:pt>
              </c:strCache>
            </c:strRef>
          </c:tx>
          <c:spPr>
            <a:solidFill>
              <a:srgbClr val="604B79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'15_Charts'!$F$11:$G$11</c:f>
              <c:numCache>
                <c:formatCode>#,##0.000</c:formatCode>
                <c:ptCount val="2"/>
                <c:pt idx="0">
                  <c:v>77.8692004977211</c:v>
                </c:pt>
                <c:pt idx="1">
                  <c:v>82.1546973489626</c:v>
                </c:pt>
              </c:numCache>
            </c:numRef>
          </c:val>
        </c:ser>
        <c:ser>
          <c:idx val="5"/>
          <c:order val="5"/>
          <c:tx>
            <c:strRef>
              <c:f>'15_Charts'!G11</c:f>
              <c:strCache>
                <c:ptCount val="1"/>
                <c:pt idx="0">
                  <c:v>82.155</c:v>
                </c:pt>
              </c:strCache>
            </c:strRef>
          </c:tx>
          <c:spPr>
            <a:solidFill>
              <a:srgbClr val="634D7E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'15_Charts'!$G$11:$H$11</c:f>
              <c:numCache>
                <c:formatCode>#,##0.000</c:formatCode>
                <c:ptCount val="2"/>
                <c:pt idx="0">
                  <c:v>82.1546973489626</c:v>
                </c:pt>
                <c:pt idx="1">
                  <c:v>84.1961853438966</c:v>
                </c:pt>
              </c:numCache>
            </c:numRef>
          </c:val>
        </c:ser>
        <c:ser>
          <c:idx val="6"/>
          <c:order val="6"/>
          <c:tx>
            <c:strRef>
              <c:f>'15_Charts'!H11</c:f>
              <c:strCache>
                <c:ptCount val="1"/>
                <c:pt idx="0">
                  <c:v>84.196</c:v>
                </c:pt>
              </c:strCache>
            </c:strRef>
          </c:tx>
          <c:spPr>
            <a:solidFill>
              <a:srgbClr val="665082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'15_Charts'!$H$11:$I$11</c:f>
              <c:numCache>
                <c:formatCode>#,##0.000</c:formatCode>
                <c:ptCount val="2"/>
                <c:pt idx="0">
                  <c:v>84.1961853438966</c:v>
                </c:pt>
                <c:pt idx="1">
                  <c:v>86.2689157685079</c:v>
                </c:pt>
              </c:numCache>
            </c:numRef>
          </c:val>
        </c:ser>
        <c:ser>
          <c:idx val="7"/>
          <c:order val="7"/>
          <c:tx>
            <c:strRef>
              <c:f>'15_Charts'!I11</c:f>
              <c:strCache>
                <c:ptCount val="1"/>
                <c:pt idx="0">
                  <c:v>86.269</c:v>
                </c:pt>
              </c:strCache>
            </c:strRef>
          </c:tx>
          <c:spPr>
            <a:solidFill>
              <a:srgbClr val="6A5286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'15_Charts'!$I$11:$J$11</c:f>
              <c:numCache>
                <c:formatCode>#,##0.000</c:formatCode>
                <c:ptCount val="2"/>
                <c:pt idx="0">
                  <c:v>86.2689157685079</c:v>
                </c:pt>
                <c:pt idx="1">
                  <c:v>88.3726438269925</c:v>
                </c:pt>
              </c:numCache>
            </c:numRef>
          </c:val>
        </c:ser>
        <c:ser>
          <c:idx val="8"/>
          <c:order val="8"/>
          <c:tx>
            <c:strRef>
              <c:f>'15_Charts'!J11</c:f>
              <c:strCache>
                <c:ptCount val="1"/>
                <c:pt idx="0">
                  <c:v>88.373</c:v>
                </c:pt>
              </c:strCache>
            </c:strRef>
          </c:tx>
          <c:spPr>
            <a:solidFill>
              <a:srgbClr val="6D558A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'15_Charts'!$J$11:$K$11</c:f>
              <c:numCache>
                <c:formatCode>#,##0.000</c:formatCode>
                <c:ptCount val="2"/>
                <c:pt idx="0">
                  <c:v>88.3726438269925</c:v>
                </c:pt>
                <c:pt idx="1">
                  <c:v>90.507034490454</c:v>
                </c:pt>
              </c:numCache>
            </c:numRef>
          </c:val>
        </c:ser>
        <c:ser>
          <c:idx val="9"/>
          <c:order val="9"/>
          <c:tx>
            <c:strRef>
              <c:f>'15_Charts'!K11</c:f>
              <c:strCache>
                <c:ptCount val="1"/>
                <c:pt idx="0">
                  <c:v>90.507</c:v>
                </c:pt>
              </c:strCache>
            </c:strRef>
          </c:tx>
          <c:spPr>
            <a:solidFill>
              <a:srgbClr val="70578D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'15_Charts'!$K$11:$L$11</c:f>
              <c:numCache>
                <c:formatCode>#,##0.000</c:formatCode>
                <c:ptCount val="2"/>
                <c:pt idx="0">
                  <c:v>90.507034490454</c:v>
                </c:pt>
                <c:pt idx="1">
                  <c:v>92.6716520980824</c:v>
                </c:pt>
              </c:numCache>
            </c:numRef>
          </c:val>
        </c:ser>
        <c:ser>
          <c:idx val="10"/>
          <c:order val="10"/>
          <c:tx>
            <c:strRef>
              <c:f>'15_Charts'!L11</c:f>
              <c:strCache>
                <c:ptCount val="1"/>
                <c:pt idx="0">
                  <c:v>92.672</c:v>
                </c:pt>
              </c:strCache>
            </c:strRef>
          </c:tx>
          <c:spPr>
            <a:solidFill>
              <a:srgbClr val="725991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'15_Charts'!$L$11:$M$11</c:f>
              <c:numCache>
                <c:formatCode>#,##0.000</c:formatCode>
                <c:ptCount val="2"/>
                <c:pt idx="0">
                  <c:v>92.6716520980824</c:v>
                </c:pt>
                <c:pt idx="1">
                  <c:v>73.3778344315009</c:v>
                </c:pt>
              </c:numCache>
            </c:numRef>
          </c:val>
        </c:ser>
        <c:ser>
          <c:idx val="11"/>
          <c:order val="11"/>
          <c:tx>
            <c:strRef>
              <c:f>'15_Charts'!M11</c:f>
              <c:strCache>
                <c:ptCount val="1"/>
                <c:pt idx="0">
                  <c:v>73.378</c:v>
                </c:pt>
              </c:strCache>
            </c:strRef>
          </c:tx>
          <c:spPr>
            <a:solidFill>
              <a:srgbClr val="755B95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'15_Charts'!$M$11:$N$11</c:f>
              <c:numCache>
                <c:formatCode>#,##0.000</c:formatCode>
                <c:ptCount val="2"/>
                <c:pt idx="0">
                  <c:v>73.3778344315009</c:v>
                </c:pt>
                <c:pt idx="1">
                  <c:v>74.8199715810748</c:v>
                </c:pt>
              </c:numCache>
            </c:numRef>
          </c:val>
        </c:ser>
        <c:ser>
          <c:idx val="12"/>
          <c:order val="12"/>
          <c:tx>
            <c:strRef>
              <c:f>'15_Charts'!N11</c:f>
              <c:strCache>
                <c:ptCount val="1"/>
                <c:pt idx="0">
                  <c:v>74.820</c:v>
                </c:pt>
              </c:strCache>
            </c:strRef>
          </c:tx>
          <c:spPr>
            <a:solidFill>
              <a:srgbClr val="785E98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'15_Charts'!$N$11:$O$11</c:f>
              <c:numCache>
                <c:formatCode>#,##0.000</c:formatCode>
                <c:ptCount val="2"/>
                <c:pt idx="0">
                  <c:v>74.8199715810748</c:v>
                </c:pt>
                <c:pt idx="1">
                  <c:v>76.2561193727178</c:v>
                </c:pt>
              </c:numCache>
            </c:numRef>
          </c:val>
        </c:ser>
        <c:ser>
          <c:idx val="13"/>
          <c:order val="13"/>
          <c:tx>
            <c:strRef>
              <c:f>'15_Charts'!O11</c:f>
              <c:strCache>
                <c:ptCount val="1"/>
                <c:pt idx="0">
                  <c:v>76.256</c:v>
                </c:pt>
              </c:strCache>
            </c:strRef>
          </c:tx>
          <c:spPr>
            <a:solidFill>
              <a:srgbClr val="7B609B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'15_Charts'!$O$11:$P$11</c:f>
              <c:numCache>
                <c:formatCode>#,##0.000</c:formatCode>
                <c:ptCount val="2"/>
                <c:pt idx="0">
                  <c:v>76.2561193727178</c:v>
                </c:pt>
                <c:pt idx="1">
                  <c:v>77.6827726572543</c:v>
                </c:pt>
              </c:numCache>
            </c:numRef>
          </c:val>
        </c:ser>
        <c:ser>
          <c:idx val="14"/>
          <c:order val="14"/>
          <c:tx>
            <c:strRef>
              <c:f>'15_Charts'!P11</c:f>
              <c:strCache>
                <c:ptCount val="1"/>
                <c:pt idx="0">
                  <c:v>77.683</c:v>
                </c:pt>
              </c:strCache>
            </c:strRef>
          </c:tx>
          <c:spPr>
            <a:solidFill>
              <a:srgbClr val="7D629E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'15_Charts'!$P$11:$Q$11</c:f>
              <c:numCache>
                <c:formatCode>#,##0.000</c:formatCode>
                <c:ptCount val="2"/>
                <c:pt idx="0">
                  <c:v>77.6827726572543</c:v>
                </c:pt>
                <c:pt idx="1">
                  <c:v>67.3660175970974</c:v>
                </c:pt>
              </c:numCache>
            </c:numRef>
          </c:val>
        </c:ser>
        <c:ser>
          <c:idx val="15"/>
          <c:order val="15"/>
          <c:tx>
            <c:strRef>
              <c:f>'15_Charts'!Q11</c:f>
              <c:strCache>
                <c:ptCount val="1"/>
                <c:pt idx="0">
                  <c:v>67.366</c:v>
                </c:pt>
              </c:strCache>
            </c:strRef>
          </c:tx>
          <c:spPr>
            <a:solidFill>
              <a:srgbClr val="8064A2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'15_Charts'!$Q$11:$R$11</c:f>
              <c:numCache>
                <c:formatCode>#,##0.000</c:formatCode>
                <c:ptCount val="2"/>
                <c:pt idx="0">
                  <c:v>67.3660175970974</c:v>
                </c:pt>
                <c:pt idx="1">
                  <c:v>68.7614891396727</c:v>
                </c:pt>
              </c:numCache>
            </c:numRef>
          </c:val>
        </c:ser>
        <c:ser>
          <c:idx val="16"/>
          <c:order val="16"/>
          <c:tx>
            <c:strRef>
              <c:f>'15_Charts'!R11</c:f>
              <c:strCache>
                <c:ptCount val="1"/>
                <c:pt idx="0">
                  <c:v>68.761</c:v>
                </c:pt>
              </c:strCache>
            </c:strRef>
          </c:tx>
          <c:spPr>
            <a:solidFill>
              <a:srgbClr val="8971A7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'15_Charts'!$R$11:$S$11</c:f>
              <c:numCache>
                <c:formatCode>#,##0.000</c:formatCode>
                <c:ptCount val="2"/>
                <c:pt idx="0">
                  <c:v>68.7614891396727</c:v>
                </c:pt>
                <c:pt idx="1">
                  <c:v>81.8643241220931</c:v>
                </c:pt>
              </c:numCache>
            </c:numRef>
          </c:val>
        </c:ser>
        <c:ser>
          <c:idx val="17"/>
          <c:order val="17"/>
          <c:tx>
            <c:strRef>
              <c:f>'15_Charts'!S11</c:f>
              <c:strCache>
                <c:ptCount val="1"/>
                <c:pt idx="0">
                  <c:v>81.864</c:v>
                </c:pt>
              </c:strCache>
            </c:strRef>
          </c:tx>
          <c:spPr>
            <a:solidFill>
              <a:srgbClr val="917CAC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'15_Charts'!$S$11:$T$11</c:f>
              <c:numCache>
                <c:formatCode>#,##0.000</c:formatCode>
                <c:ptCount val="2"/>
                <c:pt idx="0">
                  <c:v>81.8643241220931</c:v>
                </c:pt>
                <c:pt idx="1">
                  <c:v>83.2091095569519</c:v>
                </c:pt>
              </c:numCache>
            </c:numRef>
          </c:val>
        </c:ser>
        <c:ser>
          <c:idx val="18"/>
          <c:order val="18"/>
          <c:tx>
            <c:strRef>
              <c:f>'15_Charts'!T11</c:f>
              <c:strCache>
                <c:ptCount val="1"/>
                <c:pt idx="0">
                  <c:v>83.209</c:v>
                </c:pt>
              </c:strCache>
            </c:strRef>
          </c:tx>
          <c:spPr>
            <a:solidFill>
              <a:srgbClr val="9987B1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'15_Charts'!$T$11:$U$11</c:f>
              <c:numCache>
                <c:formatCode>#,##0.000</c:formatCode>
                <c:ptCount val="2"/>
                <c:pt idx="0">
                  <c:v>83.2091095569519</c:v>
                </c:pt>
                <c:pt idx="1">
                  <c:v>104.381566175537</c:v>
                </c:pt>
              </c:numCache>
            </c:numRef>
          </c:val>
        </c:ser>
        <c:ser>
          <c:idx val="19"/>
          <c:order val="19"/>
          <c:tx>
            <c:strRef>
              <c:f>'15_Charts'!U11</c:f>
              <c:strCache>
                <c:ptCount val="1"/>
                <c:pt idx="0">
                  <c:v>104.382</c:v>
                </c:pt>
              </c:strCache>
            </c:strRef>
          </c:tx>
          <c:spPr>
            <a:solidFill>
              <a:srgbClr val="A090B6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'15_Charts'!$U$11:$V$11</c:f>
              <c:numCache>
                <c:formatCode>#,##0.000</c:formatCode>
                <c:ptCount val="2"/>
                <c:pt idx="0">
                  <c:v>104.381566175537</c:v>
                </c:pt>
                <c:pt idx="1">
                  <c:v>106.360587380603</c:v>
                </c:pt>
              </c:numCache>
            </c:numRef>
          </c:val>
        </c:ser>
        <c:ser>
          <c:idx val="20"/>
          <c:order val="20"/>
          <c:tx>
            <c:strRef>
              <c:f>'15_Charts'!V11</c:f>
              <c:strCache>
                <c:ptCount val="1"/>
                <c:pt idx="0">
                  <c:v>106.361</c:v>
                </c:pt>
              </c:strCache>
            </c:strRef>
          </c:tx>
          <c:spPr>
            <a:solidFill>
              <a:srgbClr val="A799BB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'15_Charts'!$V$11:$W$11</c:f>
              <c:numCache>
                <c:formatCode>#,##0.000</c:formatCode>
                <c:ptCount val="2"/>
                <c:pt idx="0">
                  <c:v>106.360587380603</c:v>
                </c:pt>
                <c:pt idx="1">
                  <c:v>118.728812179953</c:v>
                </c:pt>
              </c:numCache>
            </c:numRef>
          </c:val>
        </c:ser>
        <c:ser>
          <c:idx val="21"/>
          <c:order val="21"/>
          <c:tx>
            <c:strRef>
              <c:f>'15_Charts'!W11</c:f>
              <c:strCache>
                <c:ptCount val="1"/>
                <c:pt idx="0">
                  <c:v>118.729</c:v>
                </c:pt>
              </c:strCache>
            </c:strRef>
          </c:tx>
          <c:spPr>
            <a:solidFill>
              <a:srgbClr val="ADA1C0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'15_Charts'!$W$11:$X$11</c:f>
              <c:numCache>
                <c:formatCode>#,##0.000</c:formatCode>
                <c:ptCount val="2"/>
                <c:pt idx="0">
                  <c:v>118.728812179953</c:v>
                </c:pt>
                <c:pt idx="1">
                  <c:v>121.024189578276</c:v>
                </c:pt>
              </c:numCache>
            </c:numRef>
          </c:val>
        </c:ser>
        <c:ser>
          <c:idx val="22"/>
          <c:order val="22"/>
          <c:tx>
            <c:strRef>
              <c:f>'15_Charts'!X11</c:f>
              <c:strCache>
                <c:ptCount val="1"/>
                <c:pt idx="0">
                  <c:v>121.024</c:v>
                </c:pt>
              </c:strCache>
            </c:strRef>
          </c:tx>
          <c:spPr>
            <a:solidFill>
              <a:srgbClr val="B3A8C4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'15_Charts'!$X$11:$Y$11</c:f>
              <c:numCache>
                <c:formatCode>#,##0.000</c:formatCode>
                <c:ptCount val="2"/>
                <c:pt idx="0">
                  <c:v>121.024189578276</c:v>
                </c:pt>
                <c:pt idx="1">
                  <c:v>123.3647172511</c:v>
                </c:pt>
              </c:numCache>
            </c:numRef>
          </c:val>
        </c:ser>
        <c:ser>
          <c:idx val="23"/>
          <c:order val="23"/>
          <c:tx>
            <c:strRef>
              <c:f>'15_Charts'!Y11</c:f>
              <c:strCache>
                <c:ptCount val="1"/>
                <c:pt idx="0">
                  <c:v>123.365</c:v>
                </c:pt>
              </c:strCache>
            </c:strRef>
          </c:tx>
          <c:spPr>
            <a:solidFill>
              <a:srgbClr val="B9AFC9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'15_Charts'!$Y$11:$Z$11</c:f>
              <c:numCache>
                <c:formatCode>#,##0.000</c:formatCode>
                <c:ptCount val="2"/>
                <c:pt idx="0">
                  <c:v>123.3647172511</c:v>
                </c:pt>
                <c:pt idx="1">
                  <c:v>125.751289584887</c:v>
                </c:pt>
              </c:numCache>
            </c:numRef>
          </c:val>
        </c:ser>
        <c:ser>
          <c:idx val="24"/>
          <c:order val="24"/>
          <c:tx>
            <c:strRef>
              <c:f>'15_Charts'!Z11</c:f>
              <c:strCache>
                <c:ptCount val="1"/>
                <c:pt idx="0">
                  <c:v>125.751</c:v>
                </c:pt>
              </c:strCache>
            </c:strRef>
          </c:tx>
          <c:spPr>
            <a:solidFill>
              <a:srgbClr val="BFB6CD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'15_Charts'!$Z$11:$AA$11</c:f>
              <c:numCache>
                <c:formatCode>#,##0.000</c:formatCode>
                <c:ptCount val="2"/>
                <c:pt idx="0">
                  <c:v>125.751289584887</c:v>
                </c:pt>
                <c:pt idx="1">
                  <c:v>128.184819022441</c:v>
                </c:pt>
              </c:numCache>
            </c:numRef>
          </c:val>
        </c:ser>
        <c:ser>
          <c:idx val="25"/>
          <c:order val="25"/>
          <c:tx>
            <c:strRef>
              <c:f>'15_Charts'!AA11</c:f>
              <c:strCache>
                <c:ptCount val="1"/>
                <c:pt idx="0">
                  <c:v>128.185</c:v>
                </c:pt>
              </c:strCache>
            </c:strRef>
          </c:tx>
          <c:spPr>
            <a:solidFill>
              <a:srgbClr val="C5BDD1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'15_Charts'!$AA$11:$AB$11</c:f>
              <c:numCache>
                <c:formatCode>#,##0.000</c:formatCode>
                <c:ptCount val="2"/>
                <c:pt idx="0">
                  <c:v>128.184819022441</c:v>
                </c:pt>
                <c:pt idx="1">
                  <c:v>130.666236444195</c:v>
                </c:pt>
              </c:numCache>
            </c:numRef>
          </c:val>
        </c:ser>
        <c:ser>
          <c:idx val="26"/>
          <c:order val="26"/>
          <c:tx>
            <c:strRef>
              <c:f>'15_Charts'!AB11</c:f>
              <c:strCache>
                <c:ptCount val="1"/>
                <c:pt idx="0">
                  <c:v>130.666</c:v>
                </c:pt>
              </c:strCache>
            </c:strRef>
          </c:tx>
          <c:spPr>
            <a:solidFill>
              <a:srgbClr val="CAC3D5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'15_Charts'!$AB$11:$AC$11</c:f>
              <c:numCache>
                <c:formatCode>#,##0.000</c:formatCode>
                <c:ptCount val="2"/>
                <c:pt idx="0">
                  <c:v>130.666236444195</c:v>
                </c:pt>
                <c:pt idx="1">
                  <c:v>133.196491558322</c:v>
                </c:pt>
              </c:numCache>
            </c:numRef>
          </c:val>
        </c:ser>
        <c:ser>
          <c:idx val="27"/>
          <c:order val="27"/>
          <c:tx>
            <c:strRef>
              <c:f>'15_Charts'!AC11</c:f>
              <c:strCache>
                <c:ptCount val="1"/>
                <c:pt idx="0">
                  <c:v>133.196</c:v>
                </c:pt>
              </c:strCache>
            </c:strRef>
          </c:tx>
          <c:spPr>
            <a:solidFill>
              <a:srgbClr val="CFC9D9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'15_Charts'!$AC$11:$AD$11</c:f>
              <c:numCache>
                <c:formatCode>#,##0.000</c:formatCode>
                <c:ptCount val="2"/>
                <c:pt idx="0">
                  <c:v>133.196491558322</c:v>
                </c:pt>
                <c:pt idx="1">
                  <c:v>135.77655329991</c:v>
                </c:pt>
              </c:numCache>
            </c:numRef>
          </c:val>
        </c:ser>
        <c:ser>
          <c:idx val="28"/>
          <c:order val="28"/>
          <c:tx>
            <c:strRef>
              <c:f>'15_Charts'!AD11</c:f>
              <c:strCache>
                <c:ptCount val="1"/>
                <c:pt idx="0">
                  <c:v>135.777</c:v>
                </c:pt>
              </c:strCache>
            </c:strRef>
          </c:tx>
          <c:spPr>
            <a:solidFill>
              <a:srgbClr val="D4CEDD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'15_Charts'!$AD$11:$AE$11</c:f>
              <c:numCache>
                <c:formatCode>#,##0.000</c:formatCode>
                <c:ptCount val="2"/>
                <c:pt idx="0">
                  <c:v>135.77655329991</c:v>
                </c:pt>
                <c:pt idx="1">
                  <c:v>138.407410239456</c:v>
                </c:pt>
              </c:numCache>
            </c:numRef>
          </c:val>
        </c:ser>
        <c:ser>
          <c:idx val="29"/>
          <c:order val="29"/>
          <c:tx>
            <c:strRef>
              <c:f>'15_Charts'!AE11</c:f>
              <c:strCache>
                <c:ptCount val="1"/>
                <c:pt idx="0">
                  <c:v>138.407</c:v>
                </c:pt>
              </c:strCache>
            </c:strRef>
          </c:tx>
          <c:spPr>
            <a:solidFill>
              <a:srgbClr val="D9D4E0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'15_Charts'!$AE$11:$AF$11</c:f>
              <c:numCache>
                <c:formatCode>#,##0.000</c:formatCode>
                <c:ptCount val="2"/>
                <c:pt idx="0">
                  <c:v>138.407410239456</c:v>
                </c:pt>
                <c:pt idx="1">
                  <c:v>141.09007100092</c:v>
                </c:pt>
              </c:numCache>
            </c:numRef>
          </c:val>
        </c:ser>
        <c:ser>
          <c:idx val="30"/>
          <c:order val="30"/>
          <c:tx>
            <c:strRef>
              <c:f>'15_Charts'!AF11</c:f>
              <c:strCache>
                <c:ptCount val="1"/>
                <c:pt idx="0">
                  <c:v>141.090</c:v>
                </c:pt>
              </c:strCache>
            </c:strRef>
          </c:tx>
          <c:spPr>
            <a:solidFill>
              <a:srgbClr val="DDD9E4"/>
            </a:solidFill>
            <a:ln w="12600">
              <a:solidFill>
                <a:srgbClr val="F9F9F9"/>
              </a:solidFill>
              <a:round/>
            </a:ln>
          </c:spPr>
          <c:invertIfNegative val="0"/>
          <c:dLbls>
            <c:txPr>
              <a:bodyPr wrap="square"/>
              <a:lstStyle/>
              <a:p>
                <a:pPr>
                  <a:defRPr sz="1000" b="0" u="none" strike="noStrike">
                    <a:solidFill>
                      <a:srgbClr val="000000"/>
                    </a:solidFill>
                    <a:uFillTx/>
                    <a:latin typeface="Arial"/>
                  </a:defRPr>
                </a:pPr>
              </a:p>
            </c:txPr>
            <c:dLblPos val="outEnd"/>
            <c:showLegendKey val="0"/>
            <c:showVal val="0"/>
            <c:showCatName val="0"/>
            <c:showSerName val="0"/>
            <c:showPercent val="0"/>
            <c:separator>; </c:separator>
            <c:showLeaderLines val="1"/>
            <c:leaderLines>
              <c:spPr>
                <a:ln w="0">
                  <a:solidFill>
                    <a:srgbClr val="F9F9F9"/>
                  </a:solidFill>
                </a:ln>
              </c:spPr>
            </c:leaderLines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'15_Charts'!$C$5:$AF$5</c:f>
              <c:strCache>
                <c:ptCount val="30"/>
                <c:pt idx="0">
                  <c:v>2030</c:v>
                </c:pt>
                <c:pt idx="1">
                  <c:v>2031</c:v>
                </c:pt>
                <c:pt idx="2">
                  <c:v>2032</c:v>
                </c:pt>
                <c:pt idx="3">
                  <c:v>2033</c:v>
                </c:pt>
                <c:pt idx="4">
                  <c:v>2034</c:v>
                </c:pt>
                <c:pt idx="5">
                  <c:v>2035</c:v>
                </c:pt>
                <c:pt idx="6">
                  <c:v>2036</c:v>
                </c:pt>
                <c:pt idx="7">
                  <c:v>2037</c:v>
                </c:pt>
                <c:pt idx="8">
                  <c:v>2038</c:v>
                </c:pt>
                <c:pt idx="9">
                  <c:v>2039</c:v>
                </c:pt>
                <c:pt idx="10">
                  <c:v>2040</c:v>
                </c:pt>
                <c:pt idx="11">
                  <c:v>2041</c:v>
                </c:pt>
                <c:pt idx="12">
                  <c:v>2042</c:v>
                </c:pt>
                <c:pt idx="13">
                  <c:v>2043</c:v>
                </c:pt>
                <c:pt idx="14">
                  <c:v>2044</c:v>
                </c:pt>
                <c:pt idx="15">
                  <c:v>2045</c:v>
                </c:pt>
                <c:pt idx="16">
                  <c:v>2046</c:v>
                </c:pt>
                <c:pt idx="17">
                  <c:v>2047</c:v>
                </c:pt>
                <c:pt idx="18">
                  <c:v>2048</c:v>
                </c:pt>
                <c:pt idx="19">
                  <c:v>2049</c:v>
                </c:pt>
                <c:pt idx="20">
                  <c:v>2050</c:v>
                </c:pt>
                <c:pt idx="21">
                  <c:v>2051</c:v>
                </c:pt>
                <c:pt idx="22">
                  <c:v>2052</c:v>
                </c:pt>
                <c:pt idx="23">
                  <c:v>2053</c:v>
                </c:pt>
                <c:pt idx="24">
                  <c:v>2054</c:v>
                </c:pt>
                <c:pt idx="25">
                  <c:v>2055</c:v>
                </c:pt>
                <c:pt idx="26">
                  <c:v>2056</c:v>
                </c:pt>
                <c:pt idx="27">
                  <c:v>2057</c:v>
                </c:pt>
                <c:pt idx="28">
                  <c:v>2058</c:v>
                </c:pt>
                <c:pt idx="29">
                  <c:v>2059</c:v>
                </c:pt>
              </c:strCache>
            </c:strRef>
          </c:cat>
          <c:val>
            <c:numRef>
              <c:f>'15_Charts'!$AF$11:$AG$11</c:f>
              <c:numCache>
                <c:formatCode>#,##0.000</c:formatCode>
                <c:ptCount val="2"/>
                <c:pt idx="0">
                  <c:v>141.09007100092</c:v>
                </c:pt>
              </c:numCache>
            </c:numRef>
          </c:val>
        </c:ser>
        <c:gapWidth val="150"/>
        <c:overlap val="0"/>
        <c:axId val="9345833"/>
        <c:axId val="95580040"/>
      </c:barChart>
      <c:catAx>
        <c:axId val="9345833"/>
        <c:scaling>
          <c:orientation val="minMax"/>
        </c:scaling>
        <c:delete val="0"/>
        <c:axPos val="b"/>
        <c:title>
          <c:tx>
            <c:rich>
              <a:bodyPr rot="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Year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General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95580040"/>
        <c:crosses val="autoZero"/>
        <c:auto val="1"/>
        <c:lblAlgn val="ctr"/>
        <c:lblOffset val="100"/>
        <c:noMultiLvlLbl val="0"/>
      </c:catAx>
      <c:valAx>
        <c:axId val="95580040"/>
        <c:scaling>
          <c:orientation val="minMax"/>
        </c:scaling>
        <c:delete val="0"/>
        <c:axPos val="l"/>
        <c:majorGridlines>
          <c:spPr>
            <a:ln w="9360">
              <a:solidFill>
                <a:srgbClr val="878787"/>
              </a:solidFill>
              <a:round/>
            </a:ln>
          </c:spPr>
        </c:majorGridlines>
        <c:title>
          <c:tx>
            <c:rich>
              <a:bodyPr rot="-5400000"/>
              <a:lstStyle/>
              <a:p>
                <a:pPr>
                  <a:defRPr sz="1300" b="0" u="none" strike="noStrike">
                    <a:uFillTx/>
                    <a:latin typeface="Arial"/>
                  </a:defRPr>
                </a:pPr>
                <a:r>
                  <a:rPr sz="1000" b="1" u="none" strike="noStrike">
                    <a:solidFill>
                      <a:srgbClr val="000000"/>
                    </a:solidFill>
                    <a:uFillTx/>
                    <a:latin typeface="Calibri"/>
                  </a:rPr>
                  <a:t>USD M</a:t>
                </a:r>
              </a:p>
            </c:rich>
          </c:tx>
          <c:overlay val="0"/>
          <c:spPr>
            <a:noFill/>
            <a:ln w="0">
              <a:noFill/>
            </a:ln>
          </c:spPr>
        </c:title>
        <c:numFmt formatCode="#,##0.000" sourceLinked="0"/>
        <c:majorTickMark val="none"/>
        <c:minorTickMark val="none"/>
        <c:tickLblPos val="nextTo"/>
        <c:spPr>
          <a:ln w="9360">
            <a:solidFill>
              <a:srgbClr val="878787"/>
            </a:solidFill>
            <a:round/>
          </a:ln>
        </c:spPr>
        <c:txPr>
          <a:bodyPr/>
          <a:lstStyle/>
          <a:p>
            <a:pPr>
              <a:defRPr sz="1000" b="0" u="none" strike="noStrike">
                <a:solidFill>
                  <a:srgbClr val="000000"/>
                </a:solidFill>
                <a:uFillTx/>
                <a:latin typeface="Calibri"/>
              </a:defRPr>
            </a:pPr>
          </a:p>
        </c:txPr>
        <c:crossAx val="9345833"/>
        <c:crosses val="autoZero"/>
        <c:crossBetween val="between"/>
      </c:valAx>
      <c:spPr>
        <a:solidFill>
          <a:srgbClr val="FFFFFF"/>
        </a:solidFill>
        <a:ln w="0">
          <a:noFill/>
        </a:ln>
      </c:spPr>
    </c:plotArea>
    <c:legend>
      <c:legendPos val="r"/>
      <c:overlay val="0"/>
      <c:spPr>
        <a:noFill/>
        <a:ln w="0">
          <a:noFill/>
        </a:ln>
      </c:spPr>
      <c:txPr>
        <a:bodyPr/>
        <a:lstStyle/>
        <a:p>
          <a:pPr>
            <a:defRPr sz="1000" b="0" u="none" strike="noStrike">
              <a:solidFill>
                <a:srgbClr val="000000"/>
              </a:solidFill>
              <a:uFillTx/>
              <a:latin typeface="Calibri"/>
            </a:defRPr>
          </a:pPr>
        </a:p>
      </c:txPr>
    </c:legend>
    <c:plotVisOnly val="1"/>
    <c:dispBlanksAs val="gap"/>
  </c:chart>
  <c:spPr>
    <a:solidFill>
      <a:srgbClr val="FFFFFF"/>
    </a:solidFill>
    <a:ln w="9360">
      <a:solidFill>
        <a:srgbClr val="D9D9D9"/>
      </a:solidFill>
      <a:round/>
    </a:ln>
  </c:sp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</cs:colorStyle>
</file>

<file path=xl/charts/style1.xml><?xml version="1.0" encoding="utf-8"?>
<cs:chartStyle xmlns:cs="http://schemas.microsoft.com/office/drawing/2012/chartStyle" xmlns:a="http://schemas.openxmlformats.org/drawingml/2006/main" id="419">
  <cs:axisTitle>
    <cs:lnRef idx="0"/>
    <cs:fillRef idx="0"/>
    <cs:effectRef idx="0"/>
    <cs:fontRef idx="minor"/>
  </cs:axisTitle>
  <cs:categoryAxis>
    <cs:lnRef idx="0"/>
    <cs:fillRef idx="0"/>
    <cs:effectRef idx="0"/>
    <cs:fontRef idx="minor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chartArea>
  <cs:dataLabel>
    <cs:lnRef idx="0"/>
    <cs:fillRef idx="0"/>
    <cs:effectRef idx="0"/>
    <cs:fontRef idx="minor"/>
  </cs:dataLabel>
  <cs:dataPoint>
    <cs:lnRef idx="0"/>
    <cs:fillRef idx="0">
      <cs:styleClr val="auto"/>
    </cs:fillRef>
    <cs:effectRef idx="0"/>
    <cs:fontRef idx="minor">
      <cs:schemeClr val="tx1"/>
    </cs:fontRef>
    <cs:spPr>
      <a:solidFill>
        <a:schemeClr val="phClr"/>
      </a:solidFill>
    </cs:spPr>
  </cs:dataPoint>
  <cs:dataPoint3D>
    <cs:lnRef idx="0"/>
    <cs:fillRef idx="0"/>
    <cs:effectRef idx="0"/>
    <cs:fontRef idx="minor"/>
  </cs:dataPoint3D>
  <cs:dataPointLine>
    <cs:lnRef idx="0"/>
    <cs:fillRef idx="0"/>
    <cs:effectRef idx="0"/>
    <cs:fontRef idx="minor"/>
  </cs:dataPointLine>
  <cs:dataPointMarker>
    <cs:lnRef idx="0"/>
    <cs:fillRef idx="0"/>
    <cs:effectRef idx="0"/>
    <cs:fontRef idx="minor"/>
  </cs:dataPointMarker>
  <cs:dataPointMarkerLayout>
    <cs:lnRef idx="0"/>
    <cs:fillRef idx="0"/>
    <cs:effectRef idx="0"/>
    <cs:fontRef idx="minor"/>
  </cs:dataPointMarkerLayout>
  <cs:dataPointWireframe>
    <cs:lnRef idx="0"/>
    <cs:fillRef idx="0"/>
    <cs:effectRef idx="0"/>
    <cs:fontRef idx="minor"/>
  </cs:dataPointWireframe>
  <cs:dataTable>
    <cs:lnRef idx="0"/>
    <cs:fillRef idx="0"/>
    <cs:effectRef idx="0"/>
    <cs:fontRef idx="minor"/>
  </cs:dataTable>
  <cs:downBar>
    <cs:lnRef idx="0"/>
    <cs:fillRef idx="0"/>
    <cs:effectRef idx="0"/>
    <cs:fontRef idx="minor"/>
  </cs:downBar>
  <cs:dropLine>
    <cs:lnRef idx="0"/>
    <cs:fillRef idx="0"/>
    <cs:effectRef idx="0"/>
    <cs:fontRef idx="minor"/>
  </cs:dropLine>
  <cs:errorBar>
    <cs:lnRef idx="0"/>
    <cs:fillRef idx="0"/>
    <cs:effectRef idx="0"/>
    <cs:fontRef idx="minor"/>
  </cs:errorBar>
  <cs:floor>
    <cs:lnRef idx="0"/>
    <cs:fillRef idx="0"/>
    <cs:effectRef idx="0"/>
    <cs:fontRef idx="minor"/>
  </cs:floor>
  <cs:gridlineMajor>
    <cs:lnRef idx="0"/>
    <cs:fillRef idx="0"/>
    <cs:effectRef idx="0"/>
    <cs:fontRef idx="minor"/>
  </cs:gridlineMajor>
  <cs:gridlineMinor>
    <cs:lnRef idx="0"/>
    <cs:fillRef idx="0"/>
    <cs:effectRef idx="0"/>
    <cs:fontRef idx="minor"/>
  </cs:gridlineMinor>
  <cs:hiLoLine>
    <cs:lnRef idx="0"/>
    <cs:fillRef idx="0"/>
    <cs:effectRef idx="0"/>
    <cs:fontRef idx="minor"/>
  </cs:hiLoLine>
  <cs:leaderLine>
    <cs:lnRef idx="0"/>
    <cs:fillRef idx="0"/>
    <cs:effectRef idx="0"/>
    <cs:fontRef idx="minor"/>
  </cs:leaderLine>
  <cs:legend>
    <cs:lnRef idx="0"/>
    <cs:fillRef idx="0"/>
    <cs:effectRef idx="0"/>
    <cs:fontRef idx="minor"/>
  </cs:legend>
  <cs:plotArea>
    <cs:lnRef idx="0"/>
    <cs:fillRef idx="0"/>
    <cs:effectRef idx="0"/>
    <cs:fontRef idx="minor"/>
  </cs:plotArea>
  <cs:plotArea3D>
    <cs:lnRef idx="0"/>
    <cs:fillRef idx="0"/>
    <cs:effectRef idx="0"/>
    <cs:fontRef idx="minor"/>
  </cs:plotArea3D>
  <cs:seriesAxis>
    <cs:lnRef idx="0"/>
    <cs:fillRef idx="0"/>
    <cs:effectRef idx="0"/>
    <cs:fontRef idx="minor"/>
  </cs:seriesAxis>
  <cs:seriesLine>
    <cs:lnRef idx="0"/>
    <cs:fillRef idx="0"/>
    <cs:effectRef idx="0"/>
    <cs:fontRef idx="minor"/>
  </cs:seriesLine>
  <cs:title>
    <cs:lnRef idx="0"/>
    <cs:fillRef idx="0"/>
    <cs:effectRef idx="0"/>
    <cs:fontRef idx="minor"/>
  </cs:title>
  <cs:trendline>
    <cs:lnRef idx="0"/>
    <cs:fillRef idx="0"/>
    <cs:effectRef idx="0"/>
    <cs:fontRef idx="minor"/>
  </cs:trendline>
  <cs:trendlineLabel>
    <cs:lnRef idx="0"/>
    <cs:fillRef idx="0"/>
    <cs:effectRef idx="0"/>
    <cs:fontRef idx="minor"/>
  </cs:trendlineLabel>
  <cs:upBar>
    <cs:lnRef idx="0"/>
    <cs:fillRef idx="0"/>
    <cs:effectRef idx="0"/>
    <cs:fontRef idx="minor"/>
  </cs:upBar>
  <cs:valueAxis>
    <cs:lnRef idx="0"/>
    <cs:fillRef idx="0"/>
    <cs:effectRef idx="0"/>
    <cs:fontRef idx="minor"/>
  </cs:valueAxis>
  <cs:wall>
    <cs:lnRef idx="0"/>
    <cs:fillRef idx="0"/>
    <cs:effectRef idx="0"/>
    <cs:fontRef idx="minor"/>
  </cs:wall>
</cs:chartStyle>
</file>

<file path=xl/charts/style2.xml><?xml version="1.0" encoding="utf-8"?>
<cs:chartStyle xmlns:cs="http://schemas.microsoft.com/office/drawing/2012/chartStyle" xmlns:a="http://schemas.openxmlformats.org/drawingml/2006/main" id="419">
  <cs:axisTitle>
    <cs:lnRef idx="0"/>
    <cs:fillRef idx="0"/>
    <cs:effectRef idx="0"/>
    <cs:fontRef idx="minor"/>
  </cs:axisTitle>
  <cs:categoryAxis>
    <cs:lnRef idx="0"/>
    <cs:fillRef idx="0"/>
    <cs:effectRef idx="0"/>
    <cs:fontRef idx="minor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chartArea>
  <cs:dataLabel>
    <cs:lnRef idx="0"/>
    <cs:fillRef idx="0"/>
    <cs:effectRef idx="0"/>
    <cs:fontRef idx="minor"/>
  </cs:dataLabel>
  <cs:dataPoint>
    <cs:lnRef idx="0"/>
    <cs:fillRef idx="0">
      <cs:styleClr val="auto"/>
    </cs:fillRef>
    <cs:effectRef idx="0"/>
    <cs:fontRef idx="minor">
      <cs:schemeClr val="tx1"/>
    </cs:fontRef>
    <cs:spPr>
      <a:solidFill>
        <a:schemeClr val="phClr"/>
      </a:solidFill>
    </cs:spPr>
  </cs:dataPoint>
  <cs:dataPoint3D>
    <cs:lnRef idx="0"/>
    <cs:fillRef idx="0"/>
    <cs:effectRef idx="0"/>
    <cs:fontRef idx="minor"/>
  </cs:dataPoint3D>
  <cs:dataPointLine>
    <cs:lnRef idx="0"/>
    <cs:fillRef idx="0"/>
    <cs:effectRef idx="0"/>
    <cs:fontRef idx="minor"/>
  </cs:dataPointLine>
  <cs:dataPointMarker>
    <cs:lnRef idx="0"/>
    <cs:fillRef idx="0"/>
    <cs:effectRef idx="0"/>
    <cs:fontRef idx="minor"/>
  </cs:dataPointMarker>
  <cs:dataPointMarkerLayout>
    <cs:lnRef idx="0"/>
    <cs:fillRef idx="0"/>
    <cs:effectRef idx="0"/>
    <cs:fontRef idx="minor"/>
  </cs:dataPointMarkerLayout>
  <cs:dataPointWireframe>
    <cs:lnRef idx="0"/>
    <cs:fillRef idx="0"/>
    <cs:effectRef idx="0"/>
    <cs:fontRef idx="minor"/>
  </cs:dataPointWireframe>
  <cs:dataTable>
    <cs:lnRef idx="0"/>
    <cs:fillRef idx="0"/>
    <cs:effectRef idx="0"/>
    <cs:fontRef idx="minor"/>
  </cs:dataTable>
  <cs:downBar>
    <cs:lnRef idx="0"/>
    <cs:fillRef idx="0"/>
    <cs:effectRef idx="0"/>
    <cs:fontRef idx="minor"/>
  </cs:downBar>
  <cs:dropLine>
    <cs:lnRef idx="0"/>
    <cs:fillRef idx="0"/>
    <cs:effectRef idx="0"/>
    <cs:fontRef idx="minor"/>
  </cs:dropLine>
  <cs:errorBar>
    <cs:lnRef idx="0"/>
    <cs:fillRef idx="0"/>
    <cs:effectRef idx="0"/>
    <cs:fontRef idx="minor"/>
  </cs:errorBar>
  <cs:floor>
    <cs:lnRef idx="0"/>
    <cs:fillRef idx="0"/>
    <cs:effectRef idx="0"/>
    <cs:fontRef idx="minor"/>
  </cs:floor>
  <cs:gridlineMajor>
    <cs:lnRef idx="0"/>
    <cs:fillRef idx="0"/>
    <cs:effectRef idx="0"/>
    <cs:fontRef idx="minor"/>
  </cs:gridlineMajor>
  <cs:gridlineMinor>
    <cs:lnRef idx="0"/>
    <cs:fillRef idx="0"/>
    <cs:effectRef idx="0"/>
    <cs:fontRef idx="minor"/>
  </cs:gridlineMinor>
  <cs:hiLoLine>
    <cs:lnRef idx="0"/>
    <cs:fillRef idx="0"/>
    <cs:effectRef idx="0"/>
    <cs:fontRef idx="minor"/>
  </cs:hiLoLine>
  <cs:leaderLine>
    <cs:lnRef idx="0"/>
    <cs:fillRef idx="0"/>
    <cs:effectRef idx="0"/>
    <cs:fontRef idx="minor"/>
  </cs:leaderLine>
  <cs:legend>
    <cs:lnRef idx="0"/>
    <cs:fillRef idx="0"/>
    <cs:effectRef idx="0"/>
    <cs:fontRef idx="minor"/>
  </cs:legend>
  <cs:plotArea>
    <cs:lnRef idx="0"/>
    <cs:fillRef idx="0"/>
    <cs:effectRef idx="0"/>
    <cs:fontRef idx="minor"/>
  </cs:plotArea>
  <cs:plotArea3D>
    <cs:lnRef idx="0"/>
    <cs:fillRef idx="0"/>
    <cs:effectRef idx="0"/>
    <cs:fontRef idx="minor"/>
  </cs:plotArea3D>
  <cs:seriesAxis>
    <cs:lnRef idx="0"/>
    <cs:fillRef idx="0"/>
    <cs:effectRef idx="0"/>
    <cs:fontRef idx="minor"/>
  </cs:seriesAxis>
  <cs:seriesLine>
    <cs:lnRef idx="0"/>
    <cs:fillRef idx="0"/>
    <cs:effectRef idx="0"/>
    <cs:fontRef idx="minor"/>
  </cs:seriesLine>
  <cs:title>
    <cs:lnRef idx="0"/>
    <cs:fillRef idx="0"/>
    <cs:effectRef idx="0"/>
    <cs:fontRef idx="minor"/>
  </cs:title>
  <cs:trendline>
    <cs:lnRef idx="0"/>
    <cs:fillRef idx="0"/>
    <cs:effectRef idx="0"/>
    <cs:fontRef idx="minor"/>
  </cs:trendline>
  <cs:trendlineLabel>
    <cs:lnRef idx="0"/>
    <cs:fillRef idx="0"/>
    <cs:effectRef idx="0"/>
    <cs:fontRef idx="minor"/>
  </cs:trendlineLabel>
  <cs:upBar>
    <cs:lnRef idx="0"/>
    <cs:fillRef idx="0"/>
    <cs:effectRef idx="0"/>
    <cs:fontRef idx="minor"/>
  </cs:upBar>
  <cs:valueAxis>
    <cs:lnRef idx="0"/>
    <cs:fillRef idx="0"/>
    <cs:effectRef idx="0"/>
    <cs:fontRef idx="minor"/>
  </cs:valueAxis>
  <cs:wall>
    <cs:lnRef idx="0"/>
    <cs:fillRef idx="0"/>
    <cs:effectRef idx="0"/>
    <cs:fontRef idx="minor"/>
  </cs:wall>
</cs:chartStyle>
</file>

<file path=xl/charts/style3.xml><?xml version="1.0" encoding="utf-8"?>
<cs:chartStyle xmlns:cs="http://schemas.microsoft.com/office/drawing/2012/chartStyle" xmlns:a="http://schemas.openxmlformats.org/drawingml/2006/main" id="419">
  <cs:axisTitle>
    <cs:lnRef idx="0"/>
    <cs:fillRef idx="0"/>
    <cs:effectRef idx="0"/>
    <cs:fontRef idx="minor"/>
  </cs:axisTitle>
  <cs:categoryAxis>
    <cs:lnRef idx="0"/>
    <cs:fillRef idx="0"/>
    <cs:effectRef idx="0"/>
    <cs:fontRef idx="minor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chartArea>
  <cs:dataLabel>
    <cs:lnRef idx="0"/>
    <cs:fillRef idx="0"/>
    <cs:effectRef idx="0"/>
    <cs:fontRef idx="minor"/>
  </cs:dataLabel>
  <cs:dataPoint>
    <cs:lnRef idx="0"/>
    <cs:fillRef idx="0">
      <cs:styleClr val="auto"/>
    </cs:fillRef>
    <cs:effectRef idx="0"/>
    <cs:fontRef idx="minor">
      <cs:schemeClr val="tx1"/>
    </cs:fontRef>
    <cs:spPr>
      <a:solidFill>
        <a:schemeClr val="phClr"/>
      </a:solidFill>
    </cs:spPr>
  </cs:dataPoint>
  <cs:dataPoint3D>
    <cs:lnRef idx="0"/>
    <cs:fillRef idx="0"/>
    <cs:effectRef idx="0"/>
    <cs:fontRef idx="minor"/>
  </cs:dataPoint3D>
  <cs:dataPointLine>
    <cs:lnRef idx="0"/>
    <cs:fillRef idx="0"/>
    <cs:effectRef idx="0"/>
    <cs:fontRef idx="minor"/>
  </cs:dataPointLine>
  <cs:dataPointMarker>
    <cs:lnRef idx="0"/>
    <cs:fillRef idx="0"/>
    <cs:effectRef idx="0"/>
    <cs:fontRef idx="minor"/>
  </cs:dataPointMarker>
  <cs:dataPointMarkerLayout>
    <cs:lnRef idx="0"/>
    <cs:fillRef idx="0"/>
    <cs:effectRef idx="0"/>
    <cs:fontRef idx="minor"/>
  </cs:dataPointMarkerLayout>
  <cs:dataPointWireframe>
    <cs:lnRef idx="0"/>
    <cs:fillRef idx="0"/>
    <cs:effectRef idx="0"/>
    <cs:fontRef idx="minor"/>
  </cs:dataPointWireframe>
  <cs:dataTable>
    <cs:lnRef idx="0"/>
    <cs:fillRef idx="0"/>
    <cs:effectRef idx="0"/>
    <cs:fontRef idx="minor"/>
  </cs:dataTable>
  <cs:downBar>
    <cs:lnRef idx="0"/>
    <cs:fillRef idx="0"/>
    <cs:effectRef idx="0"/>
    <cs:fontRef idx="minor"/>
  </cs:downBar>
  <cs:dropLine>
    <cs:lnRef idx="0"/>
    <cs:fillRef idx="0"/>
    <cs:effectRef idx="0"/>
    <cs:fontRef idx="minor"/>
  </cs:dropLine>
  <cs:errorBar>
    <cs:lnRef idx="0"/>
    <cs:fillRef idx="0"/>
    <cs:effectRef idx="0"/>
    <cs:fontRef idx="minor"/>
  </cs:errorBar>
  <cs:floor>
    <cs:lnRef idx="0"/>
    <cs:fillRef idx="0"/>
    <cs:effectRef idx="0"/>
    <cs:fontRef idx="minor"/>
  </cs:floor>
  <cs:gridlineMajor>
    <cs:lnRef idx="0"/>
    <cs:fillRef idx="0"/>
    <cs:effectRef idx="0"/>
    <cs:fontRef idx="minor"/>
  </cs:gridlineMajor>
  <cs:gridlineMinor>
    <cs:lnRef idx="0"/>
    <cs:fillRef idx="0"/>
    <cs:effectRef idx="0"/>
    <cs:fontRef idx="minor"/>
  </cs:gridlineMinor>
  <cs:hiLoLine>
    <cs:lnRef idx="0"/>
    <cs:fillRef idx="0"/>
    <cs:effectRef idx="0"/>
    <cs:fontRef idx="minor"/>
  </cs:hiLoLine>
  <cs:leaderLine>
    <cs:lnRef idx="0"/>
    <cs:fillRef idx="0"/>
    <cs:effectRef idx="0"/>
    <cs:fontRef idx="minor"/>
  </cs:leaderLine>
  <cs:legend>
    <cs:lnRef idx="0"/>
    <cs:fillRef idx="0"/>
    <cs:effectRef idx="0"/>
    <cs:fontRef idx="minor"/>
  </cs:legend>
  <cs:plotArea>
    <cs:lnRef idx="0"/>
    <cs:fillRef idx="0"/>
    <cs:effectRef idx="0"/>
    <cs:fontRef idx="minor"/>
  </cs:plotArea>
  <cs:plotArea3D>
    <cs:lnRef idx="0"/>
    <cs:fillRef idx="0"/>
    <cs:effectRef idx="0"/>
    <cs:fontRef idx="minor"/>
  </cs:plotArea3D>
  <cs:seriesAxis>
    <cs:lnRef idx="0"/>
    <cs:fillRef idx="0"/>
    <cs:effectRef idx="0"/>
    <cs:fontRef idx="minor"/>
  </cs:seriesAxis>
  <cs:seriesLine>
    <cs:lnRef idx="0"/>
    <cs:fillRef idx="0"/>
    <cs:effectRef idx="0"/>
    <cs:fontRef idx="minor"/>
  </cs:seriesLine>
  <cs:title>
    <cs:lnRef idx="0"/>
    <cs:fillRef idx="0"/>
    <cs:effectRef idx="0"/>
    <cs:fontRef idx="minor"/>
  </cs:title>
  <cs:trendline>
    <cs:lnRef idx="0"/>
    <cs:fillRef idx="0"/>
    <cs:effectRef idx="0"/>
    <cs:fontRef idx="minor"/>
  </cs:trendline>
  <cs:trendlineLabel>
    <cs:lnRef idx="0"/>
    <cs:fillRef idx="0"/>
    <cs:effectRef idx="0"/>
    <cs:fontRef idx="minor"/>
  </cs:trendlineLabel>
  <cs:upBar>
    <cs:lnRef idx="0"/>
    <cs:fillRef idx="0"/>
    <cs:effectRef idx="0"/>
    <cs:fontRef idx="minor"/>
  </cs:upBar>
  <cs:valueAxis>
    <cs:lnRef idx="0"/>
    <cs:fillRef idx="0"/>
    <cs:effectRef idx="0"/>
    <cs:fontRef idx="minor"/>
  </cs:valueAxis>
  <cs:wall>
    <cs:lnRef idx="0"/>
    <cs:fillRef idx="0"/>
    <cs:effectRef idx="0"/>
    <cs:fontRef idx="minor"/>
  </cs:wall>
</cs:chartStyle>
</file>

<file path=xl/charts/style4.xml><?xml version="1.0" encoding="utf-8"?>
<cs:chartStyle xmlns:cs="http://schemas.microsoft.com/office/drawing/2012/chartStyle" xmlns:a="http://schemas.openxmlformats.org/drawingml/2006/main" id="419">
  <cs:axisTitle>
    <cs:lnRef idx="0"/>
    <cs:fillRef idx="0"/>
    <cs:effectRef idx="0"/>
    <cs:fontRef idx="minor"/>
  </cs:axisTitle>
  <cs:categoryAxis>
    <cs:lnRef idx="0"/>
    <cs:fillRef idx="0"/>
    <cs:effectRef idx="0"/>
    <cs:fontRef idx="minor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chartArea>
  <cs:dataLabel>
    <cs:lnRef idx="0"/>
    <cs:fillRef idx="0"/>
    <cs:effectRef idx="0"/>
    <cs:fontRef idx="minor"/>
  </cs:dataLabel>
  <cs:dataPoint>
    <cs:lnRef idx="0"/>
    <cs:fillRef idx="0">
      <cs:styleClr val="auto"/>
    </cs:fillRef>
    <cs:effectRef idx="0"/>
    <cs:fontRef idx="minor">
      <cs:schemeClr val="tx1"/>
    </cs:fontRef>
    <cs:spPr>
      <a:solidFill>
        <a:schemeClr val="phClr"/>
      </a:solidFill>
    </cs:spPr>
  </cs:dataPoint>
  <cs:dataPoint3D>
    <cs:lnRef idx="0"/>
    <cs:fillRef idx="0"/>
    <cs:effectRef idx="0"/>
    <cs:fontRef idx="minor"/>
  </cs:dataPoint3D>
  <cs:dataPointLine>
    <cs:lnRef idx="0"/>
    <cs:fillRef idx="0"/>
    <cs:effectRef idx="0"/>
    <cs:fontRef idx="minor"/>
  </cs:dataPointLine>
  <cs:dataPointMarker>
    <cs:lnRef idx="0"/>
    <cs:fillRef idx="0"/>
    <cs:effectRef idx="0"/>
    <cs:fontRef idx="minor"/>
  </cs:dataPointMarker>
  <cs:dataPointMarkerLayout>
    <cs:lnRef idx="0"/>
    <cs:fillRef idx="0"/>
    <cs:effectRef idx="0"/>
    <cs:fontRef idx="minor"/>
  </cs:dataPointMarkerLayout>
  <cs:dataPointWireframe>
    <cs:lnRef idx="0"/>
    <cs:fillRef idx="0"/>
    <cs:effectRef idx="0"/>
    <cs:fontRef idx="minor"/>
  </cs:dataPointWireframe>
  <cs:dataTable>
    <cs:lnRef idx="0"/>
    <cs:fillRef idx="0"/>
    <cs:effectRef idx="0"/>
    <cs:fontRef idx="minor"/>
  </cs:dataTable>
  <cs:downBar>
    <cs:lnRef idx="0"/>
    <cs:fillRef idx="0"/>
    <cs:effectRef idx="0"/>
    <cs:fontRef idx="minor"/>
  </cs:downBar>
  <cs:dropLine>
    <cs:lnRef idx="0"/>
    <cs:fillRef idx="0"/>
    <cs:effectRef idx="0"/>
    <cs:fontRef idx="minor"/>
  </cs:dropLine>
  <cs:errorBar>
    <cs:lnRef idx="0"/>
    <cs:fillRef idx="0"/>
    <cs:effectRef idx="0"/>
    <cs:fontRef idx="minor"/>
  </cs:errorBar>
  <cs:floor>
    <cs:lnRef idx="0"/>
    <cs:fillRef idx="0"/>
    <cs:effectRef idx="0"/>
    <cs:fontRef idx="minor"/>
  </cs:floor>
  <cs:gridlineMajor>
    <cs:lnRef idx="0"/>
    <cs:fillRef idx="0"/>
    <cs:effectRef idx="0"/>
    <cs:fontRef idx="minor"/>
  </cs:gridlineMajor>
  <cs:gridlineMinor>
    <cs:lnRef idx="0"/>
    <cs:fillRef idx="0"/>
    <cs:effectRef idx="0"/>
    <cs:fontRef idx="minor"/>
  </cs:gridlineMinor>
  <cs:hiLoLine>
    <cs:lnRef idx="0"/>
    <cs:fillRef idx="0"/>
    <cs:effectRef idx="0"/>
    <cs:fontRef idx="minor"/>
  </cs:hiLoLine>
  <cs:leaderLine>
    <cs:lnRef idx="0"/>
    <cs:fillRef idx="0"/>
    <cs:effectRef idx="0"/>
    <cs:fontRef idx="minor"/>
  </cs:leaderLine>
  <cs:legend>
    <cs:lnRef idx="0"/>
    <cs:fillRef idx="0"/>
    <cs:effectRef idx="0"/>
    <cs:fontRef idx="minor"/>
  </cs:legend>
  <cs:plotArea>
    <cs:lnRef idx="0"/>
    <cs:fillRef idx="0"/>
    <cs:effectRef idx="0"/>
    <cs:fontRef idx="minor"/>
  </cs:plotArea>
  <cs:plotArea3D>
    <cs:lnRef idx="0"/>
    <cs:fillRef idx="0"/>
    <cs:effectRef idx="0"/>
    <cs:fontRef idx="minor"/>
  </cs:plotArea3D>
  <cs:seriesAxis>
    <cs:lnRef idx="0"/>
    <cs:fillRef idx="0"/>
    <cs:effectRef idx="0"/>
    <cs:fontRef idx="minor"/>
  </cs:seriesAxis>
  <cs:seriesLine>
    <cs:lnRef idx="0"/>
    <cs:fillRef idx="0"/>
    <cs:effectRef idx="0"/>
    <cs:fontRef idx="minor"/>
  </cs:seriesLine>
  <cs:title>
    <cs:lnRef idx="0"/>
    <cs:fillRef idx="0"/>
    <cs:effectRef idx="0"/>
    <cs:fontRef idx="minor"/>
  </cs:title>
  <cs:trendline>
    <cs:lnRef idx="0"/>
    <cs:fillRef idx="0"/>
    <cs:effectRef idx="0"/>
    <cs:fontRef idx="minor"/>
  </cs:trendline>
  <cs:trendlineLabel>
    <cs:lnRef idx="0"/>
    <cs:fillRef idx="0"/>
    <cs:effectRef idx="0"/>
    <cs:fontRef idx="minor"/>
  </cs:trendlineLabel>
  <cs:upBar>
    <cs:lnRef idx="0"/>
    <cs:fillRef idx="0"/>
    <cs:effectRef idx="0"/>
    <cs:fontRef idx="minor"/>
  </cs:upBar>
  <cs:valueAxis>
    <cs:lnRef idx="0"/>
    <cs:fillRef idx="0"/>
    <cs:effectRef idx="0"/>
    <cs:fontRef idx="minor"/>
  </cs:valueAxis>
  <cs:wall>
    <cs:lnRef idx="0"/>
    <cs:fillRef idx="0"/>
    <cs:effectRef idx="0"/>
    <cs:fontRef idx="minor"/>
  </cs:wall>
</cs:chartStyle>
</file>

<file path=xl/drawings/_rels/drawing1.xml.rels><?xml version="1.0" encoding="UTF-8"?>
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0</xdr:colOff>
      <xdr:row>13</xdr:row>
      <xdr:rowOff>0</xdr:rowOff>
    </xdr:from>
    <xdr:to>
      <xdr:col>8</xdr:col>
      <xdr:colOff>557280</xdr:colOff>
      <xdr:row>29</xdr:row>
      <xdr:rowOff>189000</xdr:rowOff>
    </xdr:to>
    <xdr:graphicFrame>
      <xdr:nvGraphicFramePr>
        <xdr:cNvPr id="1" name="Chart 1"/>
        <xdr:cNvGraphicFramePr/>
      </xdr:nvGraphicFramePr>
      <xdr:xfrm>
        <a:off x="141120" y="2590920"/>
        <a:ext cx="6477840" cy="323676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0</xdr:colOff>
      <xdr:row>32</xdr:row>
      <xdr:rowOff>0</xdr:rowOff>
    </xdr:from>
    <xdr:to>
      <xdr:col>8</xdr:col>
      <xdr:colOff>557280</xdr:colOff>
      <xdr:row>48</xdr:row>
      <xdr:rowOff>188280</xdr:rowOff>
    </xdr:to>
    <xdr:graphicFrame>
      <xdr:nvGraphicFramePr>
        <xdr:cNvPr id="2" name="Chart 2"/>
        <xdr:cNvGraphicFramePr/>
      </xdr:nvGraphicFramePr>
      <xdr:xfrm>
        <a:off x="141120" y="6210360"/>
        <a:ext cx="6477840" cy="32364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0</xdr:colOff>
      <xdr:row>51</xdr:row>
      <xdr:rowOff>0</xdr:rowOff>
    </xdr:from>
    <xdr:to>
      <xdr:col>8</xdr:col>
      <xdr:colOff>557280</xdr:colOff>
      <xdr:row>67</xdr:row>
      <xdr:rowOff>188280</xdr:rowOff>
    </xdr:to>
    <xdr:graphicFrame>
      <xdr:nvGraphicFramePr>
        <xdr:cNvPr id="3" name="Chart 3"/>
        <xdr:cNvGraphicFramePr/>
      </xdr:nvGraphicFramePr>
      <xdr:xfrm>
        <a:off x="141120" y="9829800"/>
        <a:ext cx="6477840" cy="32364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</xdr:col>
      <xdr:colOff>0</xdr:colOff>
      <xdr:row>70</xdr:row>
      <xdr:rowOff>0</xdr:rowOff>
    </xdr:from>
    <xdr:to>
      <xdr:col>8</xdr:col>
      <xdr:colOff>557280</xdr:colOff>
      <xdr:row>86</xdr:row>
      <xdr:rowOff>188280</xdr:rowOff>
    </xdr:to>
    <xdr:graphicFrame>
      <xdr:nvGraphicFramePr>
        <xdr:cNvPr id="4" name="Chart 4"/>
        <xdr:cNvGraphicFramePr/>
      </xdr:nvGraphicFramePr>
      <xdr:xfrm>
        <a:off x="141120" y="13449240"/>
        <a:ext cx="6477840" cy="323640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5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M46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.51"/>
    <col collapsed="false" customWidth="true" hidden="false" outlineLevel="0" max="12" min="2" style="1" width="13"/>
  </cols>
  <sheetData>
    <row r="1" customFormat="false" ht="15" hidden="false" customHeight="tru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customFormat="false" ht="42.7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4" t="s">
        <v>1</v>
      </c>
      <c r="I2" s="4"/>
      <c r="J2" s="4"/>
      <c r="K2" s="4"/>
      <c r="L2" s="4"/>
    </row>
    <row r="3" customFormat="false" ht="15" hidden="false" customHeight="true" outlineLevel="0" collapsed="false">
      <c r="A3" s="2"/>
      <c r="B3" s="5" t="s">
        <v>2</v>
      </c>
      <c r="C3" s="2"/>
      <c r="D3" s="2"/>
      <c r="E3" s="2"/>
      <c r="F3" s="2"/>
      <c r="G3" s="2"/>
      <c r="H3" s="6" t="s">
        <v>3</v>
      </c>
      <c r="I3" s="6"/>
      <c r="J3" s="6"/>
      <c r="K3" s="6"/>
      <c r="L3" s="6"/>
    </row>
    <row r="4" customFormat="false" ht="15" hidden="false" customHeight="tru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customFormat="false" ht="21.75" hidden="false" customHeight="true" outlineLevel="0" collapsed="false">
      <c r="A5" s="2"/>
      <c r="B5" s="7" t="s">
        <v>4</v>
      </c>
      <c r="C5" s="7"/>
      <c r="D5" s="7"/>
      <c r="E5" s="7"/>
      <c r="F5" s="7"/>
      <c r="G5" s="7"/>
      <c r="H5" s="7"/>
      <c r="I5" s="7"/>
      <c r="J5" s="7"/>
      <c r="K5" s="7"/>
      <c r="L5" s="7"/>
    </row>
    <row r="6" customFormat="false" ht="15" hidden="false" customHeight="true" outlineLevel="0" collapsed="false">
      <c r="A6" s="2"/>
      <c r="B6" s="8" t="s">
        <v>5</v>
      </c>
      <c r="C6" s="8"/>
      <c r="D6" s="8"/>
      <c r="E6" s="8"/>
      <c r="F6" s="8"/>
      <c r="G6" s="8"/>
      <c r="H6" s="8"/>
      <c r="I6" s="8"/>
      <c r="J6" s="8"/>
      <c r="K6" s="8"/>
      <c r="L6" s="8"/>
    </row>
    <row r="7" customFormat="false" ht="15" hidden="false" customHeight="true" outlineLevel="0" collapsed="false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</row>
    <row r="9" customFormat="false" ht="21.75" hidden="false" customHeight="true" outlineLevel="0" collapsed="false">
      <c r="B9" s="9" t="s">
        <v>6</v>
      </c>
      <c r="C9" s="9"/>
      <c r="D9" s="9"/>
      <c r="E9" s="9"/>
      <c r="F9" s="9"/>
      <c r="G9" s="9"/>
      <c r="H9" s="9"/>
      <c r="I9" s="9"/>
      <c r="J9" s="9"/>
      <c r="K9" s="9"/>
      <c r="L9" s="9"/>
    </row>
    <row r="11" customFormat="false" ht="6" hidden="false" customHeight="true" outlineLevel="0" collapsed="false"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</row>
    <row r="12" customFormat="false" ht="15" hidden="false" customHeight="true" outlineLevel="0" collapsed="false">
      <c r="B12" s="11" t="s">
        <v>7</v>
      </c>
      <c r="C12" s="11"/>
      <c r="D12" s="11" t="s">
        <v>8</v>
      </c>
      <c r="E12" s="11"/>
      <c r="F12" s="11" t="s">
        <v>9</v>
      </c>
      <c r="G12" s="11"/>
      <c r="H12" s="11" t="s">
        <v>10</v>
      </c>
      <c r="I12" s="11"/>
      <c r="J12" s="11" t="s">
        <v>11</v>
      </c>
      <c r="K12" s="11"/>
      <c r="L12" s="11" t="s">
        <v>12</v>
      </c>
      <c r="M12" s="11"/>
    </row>
    <row r="13" customFormat="false" ht="27.75" hidden="false" customHeight="true" outlineLevel="0" collapsed="false">
      <c r="B13" s="12" t="n">
        <f aca="false">'02_Assumptions'!D28</f>
        <v>4551.25725</v>
      </c>
      <c r="C13" s="12"/>
      <c r="D13" s="13" t="n">
        <f aca="false">'10_Returns'!D7</f>
        <v>0.201609589044887</v>
      </c>
      <c r="E13" s="13"/>
      <c r="F13" s="13" t="n">
        <f aca="false">'10_Returns'!D8</f>
        <v>0.297964092065984</v>
      </c>
      <c r="G13" s="13"/>
      <c r="H13" s="14" t="n">
        <f aca="false">'10_Returns'!D9</f>
        <v>3.6135299825004</v>
      </c>
      <c r="I13" s="14"/>
      <c r="J13" s="15" t="n">
        <f aca="false">'10_Returns'!D10</f>
        <v>117.793009621424</v>
      </c>
      <c r="K13" s="15"/>
      <c r="L13" s="12" t="n">
        <f aca="false">'10_Returns'!D11</f>
        <v>5870.78896329419</v>
      </c>
      <c r="M13" s="12"/>
    </row>
    <row r="14" customFormat="false" ht="6" hidden="false" customHeight="true" outlineLevel="0" collapsed="false">
      <c r="B14" s="12"/>
      <c r="C14" s="12"/>
      <c r="D14" s="13"/>
      <c r="E14" s="13"/>
      <c r="F14" s="13"/>
      <c r="G14" s="13"/>
      <c r="H14" s="14"/>
      <c r="I14" s="14"/>
      <c r="J14" s="15"/>
      <c r="K14" s="15"/>
      <c r="L14" s="12"/>
      <c r="M14" s="12"/>
    </row>
    <row r="16" customFormat="false" ht="21.75" hidden="false" customHeight="true" outlineLevel="0" collapsed="false">
      <c r="B16" s="9" t="s">
        <v>13</v>
      </c>
      <c r="C16" s="9"/>
      <c r="D16" s="9"/>
      <c r="E16" s="9"/>
      <c r="F16" s="9"/>
      <c r="G16" s="9"/>
      <c r="H16" s="9"/>
      <c r="I16" s="9"/>
      <c r="J16" s="9"/>
      <c r="K16" s="9"/>
      <c r="L16" s="9"/>
    </row>
    <row r="18" customFormat="false" ht="15" hidden="false" customHeight="true" outlineLevel="0" collapsed="false">
      <c r="B18" s="16" t="s">
        <v>14</v>
      </c>
      <c r="C18" s="17" t="n">
        <f aca="false">'02_Assumptions'!F9</f>
        <v>2000</v>
      </c>
      <c r="D18" s="17"/>
      <c r="E18" s="16" t="s">
        <v>15</v>
      </c>
      <c r="F18" s="18" t="n">
        <f aca="false">'02_Assumptions'!F10</f>
        <v>2640</v>
      </c>
      <c r="G18" s="18"/>
      <c r="H18" s="16" t="s">
        <v>16</v>
      </c>
      <c r="I18" s="19" t="n">
        <f aca="false">'02_Assumptions'!F15</f>
        <v>200</v>
      </c>
      <c r="J18" s="19"/>
      <c r="K18" s="16" t="s">
        <v>17</v>
      </c>
      <c r="L18" s="20" t="n">
        <f aca="false">'02_Assumptions'!F17</f>
        <v>800</v>
      </c>
      <c r="M18" s="20"/>
    </row>
    <row r="20" customFormat="false" ht="15" hidden="false" customHeight="true" outlineLevel="0" collapsed="false">
      <c r="B20" s="16" t="s">
        <v>18</v>
      </c>
      <c r="C20" s="21" t="n">
        <f aca="false">'02_Assumptions'!E19</f>
        <v>350</v>
      </c>
      <c r="D20" s="21"/>
      <c r="E20" s="16" t="s">
        <v>19</v>
      </c>
      <c r="F20" s="19" t="n">
        <f aca="false">'02_Assumptions'!E22</f>
        <v>50</v>
      </c>
      <c r="G20" s="19"/>
      <c r="H20" s="16" t="s">
        <v>20</v>
      </c>
      <c r="I20" s="22" t="n">
        <f aca="false">'02_Assumptions'!D6</f>
        <v>10589.2</v>
      </c>
      <c r="J20" s="22"/>
      <c r="K20" s="16" t="s">
        <v>21</v>
      </c>
      <c r="L20" s="22" t="n">
        <f aca="false">'02_Assumptions'!D7</f>
        <v>4221.96</v>
      </c>
      <c r="M20" s="22"/>
    </row>
    <row r="22" customFormat="false" ht="15" hidden="false" customHeight="true" outlineLevel="0" collapsed="false">
      <c r="B22" s="16" t="s">
        <v>22</v>
      </c>
      <c r="C22" s="23" t="n">
        <f aca="false">'02_Assumptions'!D11</f>
        <v>0.312</v>
      </c>
      <c r="D22" s="23"/>
      <c r="E22" s="16" t="s">
        <v>23</v>
      </c>
      <c r="F22" s="24" t="n">
        <f aca="false">'02_Assumptions'!F24</f>
        <v>36</v>
      </c>
      <c r="G22" s="24"/>
      <c r="H22" s="16" t="s">
        <v>24</v>
      </c>
      <c r="I22" s="25" t="n">
        <f aca="false">'02_Assumptions'!D25</f>
        <v>30</v>
      </c>
      <c r="J22" s="25"/>
      <c r="K22" s="16" t="s">
        <v>25</v>
      </c>
      <c r="L22" s="26" t="s">
        <v>26</v>
      </c>
      <c r="M22" s="26"/>
    </row>
    <row r="26" customFormat="false" ht="21.75" hidden="false" customHeight="true" outlineLevel="0" collapsed="false">
      <c r="B26" s="9" t="s">
        <v>27</v>
      </c>
      <c r="C26" s="9"/>
      <c r="D26" s="9"/>
      <c r="E26" s="9"/>
      <c r="F26" s="9"/>
      <c r="G26" s="9"/>
      <c r="H26" s="9"/>
      <c r="I26" s="9"/>
      <c r="J26" s="9"/>
      <c r="K26" s="9"/>
      <c r="L26" s="9"/>
    </row>
    <row r="28" customFormat="false" ht="15" hidden="false" customHeight="true" outlineLevel="0" collapsed="false">
      <c r="B28" s="27" t="s">
        <v>28</v>
      </c>
      <c r="C28" s="28" t="s">
        <v>29</v>
      </c>
      <c r="D28" s="28"/>
      <c r="E28" s="28"/>
      <c r="F28" s="29" t="s">
        <v>30</v>
      </c>
      <c r="G28" s="29"/>
      <c r="H28" s="29"/>
      <c r="I28" s="29"/>
      <c r="J28" s="29"/>
      <c r="K28" s="29"/>
      <c r="L28" s="29"/>
    </row>
    <row r="29" customFormat="false" ht="15" hidden="false" customHeight="true" outlineLevel="0" collapsed="false">
      <c r="B29" s="27" t="s">
        <v>31</v>
      </c>
      <c r="C29" s="28" t="s">
        <v>32</v>
      </c>
      <c r="D29" s="28"/>
      <c r="E29" s="28"/>
      <c r="F29" s="29" t="s">
        <v>33</v>
      </c>
      <c r="G29" s="29"/>
      <c r="H29" s="29"/>
      <c r="I29" s="29"/>
      <c r="J29" s="29"/>
      <c r="K29" s="29"/>
      <c r="L29" s="29"/>
    </row>
    <row r="30" customFormat="false" ht="15" hidden="false" customHeight="true" outlineLevel="0" collapsed="false">
      <c r="B30" s="27" t="s">
        <v>34</v>
      </c>
      <c r="C30" s="28" t="s">
        <v>35</v>
      </c>
      <c r="D30" s="28"/>
      <c r="E30" s="28"/>
      <c r="F30" s="29" t="s">
        <v>36</v>
      </c>
      <c r="G30" s="29"/>
      <c r="H30" s="29"/>
      <c r="I30" s="29"/>
      <c r="J30" s="29"/>
      <c r="K30" s="29"/>
      <c r="L30" s="29"/>
    </row>
    <row r="31" customFormat="false" ht="15" hidden="false" customHeight="true" outlineLevel="0" collapsed="false">
      <c r="B31" s="27" t="s">
        <v>37</v>
      </c>
      <c r="C31" s="28" t="s">
        <v>38</v>
      </c>
      <c r="D31" s="28"/>
      <c r="E31" s="28"/>
      <c r="F31" s="29" t="s">
        <v>39</v>
      </c>
      <c r="G31" s="29"/>
      <c r="H31" s="29"/>
      <c r="I31" s="29"/>
      <c r="J31" s="29"/>
      <c r="K31" s="29"/>
      <c r="L31" s="29"/>
    </row>
    <row r="32" customFormat="false" ht="15" hidden="false" customHeight="true" outlineLevel="0" collapsed="false">
      <c r="B32" s="27" t="s">
        <v>40</v>
      </c>
      <c r="C32" s="28" t="s">
        <v>41</v>
      </c>
      <c r="D32" s="28"/>
      <c r="E32" s="28"/>
      <c r="F32" s="29" t="s">
        <v>42</v>
      </c>
      <c r="G32" s="29"/>
      <c r="H32" s="29"/>
      <c r="I32" s="29"/>
      <c r="J32" s="29"/>
      <c r="K32" s="29"/>
      <c r="L32" s="29"/>
    </row>
    <row r="33" customFormat="false" ht="15" hidden="false" customHeight="true" outlineLevel="0" collapsed="false">
      <c r="B33" s="27" t="s">
        <v>43</v>
      </c>
      <c r="C33" s="28" t="s">
        <v>44</v>
      </c>
      <c r="D33" s="28"/>
      <c r="E33" s="28"/>
      <c r="F33" s="29" t="s">
        <v>45</v>
      </c>
      <c r="G33" s="29"/>
      <c r="H33" s="29"/>
      <c r="I33" s="29"/>
      <c r="J33" s="29"/>
      <c r="K33" s="29"/>
      <c r="L33" s="29"/>
    </row>
    <row r="34" customFormat="false" ht="15" hidden="false" customHeight="true" outlineLevel="0" collapsed="false">
      <c r="B34" s="27" t="s">
        <v>46</v>
      </c>
      <c r="C34" s="28" t="s">
        <v>47</v>
      </c>
      <c r="D34" s="28"/>
      <c r="E34" s="28"/>
      <c r="F34" s="29" t="s">
        <v>48</v>
      </c>
      <c r="G34" s="29"/>
      <c r="H34" s="29"/>
      <c r="I34" s="29"/>
      <c r="J34" s="29"/>
      <c r="K34" s="29"/>
      <c r="L34" s="29"/>
    </row>
    <row r="35" customFormat="false" ht="15" hidden="false" customHeight="true" outlineLevel="0" collapsed="false">
      <c r="B35" s="27" t="s">
        <v>49</v>
      </c>
      <c r="C35" s="28" t="s">
        <v>50</v>
      </c>
      <c r="D35" s="28"/>
      <c r="E35" s="28"/>
      <c r="F35" s="29" t="s">
        <v>51</v>
      </c>
      <c r="G35" s="29"/>
      <c r="H35" s="29"/>
      <c r="I35" s="29"/>
      <c r="J35" s="29"/>
      <c r="K35" s="29"/>
      <c r="L35" s="29"/>
    </row>
    <row r="36" customFormat="false" ht="15" hidden="false" customHeight="true" outlineLevel="0" collapsed="false">
      <c r="B36" s="27" t="s">
        <v>52</v>
      </c>
      <c r="C36" s="28" t="s">
        <v>53</v>
      </c>
      <c r="D36" s="28"/>
      <c r="E36" s="28"/>
      <c r="F36" s="29" t="s">
        <v>54</v>
      </c>
      <c r="G36" s="29"/>
      <c r="H36" s="29"/>
      <c r="I36" s="29"/>
      <c r="J36" s="29"/>
      <c r="K36" s="29"/>
      <c r="L36" s="29"/>
    </row>
    <row r="37" customFormat="false" ht="15" hidden="false" customHeight="true" outlineLevel="0" collapsed="false">
      <c r="B37" s="27" t="s">
        <v>55</v>
      </c>
      <c r="C37" s="28" t="s">
        <v>56</v>
      </c>
      <c r="D37" s="28"/>
      <c r="E37" s="28"/>
      <c r="F37" s="29" t="s">
        <v>57</v>
      </c>
      <c r="G37" s="29"/>
      <c r="H37" s="29"/>
      <c r="I37" s="29"/>
      <c r="J37" s="29"/>
      <c r="K37" s="29"/>
      <c r="L37" s="29"/>
    </row>
    <row r="38" customFormat="false" ht="15" hidden="false" customHeight="true" outlineLevel="0" collapsed="false">
      <c r="B38" s="27" t="s">
        <v>58</v>
      </c>
      <c r="C38" s="28" t="s">
        <v>59</v>
      </c>
      <c r="D38" s="28"/>
      <c r="E38" s="28"/>
      <c r="F38" s="29" t="s">
        <v>60</v>
      </c>
      <c r="G38" s="29"/>
      <c r="H38" s="29"/>
      <c r="I38" s="29"/>
      <c r="J38" s="29"/>
      <c r="K38" s="29"/>
      <c r="L38" s="29"/>
    </row>
    <row r="39" customFormat="false" ht="15" hidden="false" customHeight="true" outlineLevel="0" collapsed="false">
      <c r="B39" s="27" t="s">
        <v>61</v>
      </c>
      <c r="C39" s="28" t="s">
        <v>62</v>
      </c>
      <c r="D39" s="28"/>
      <c r="E39" s="28"/>
      <c r="F39" s="29" t="s">
        <v>63</v>
      </c>
      <c r="G39" s="29"/>
      <c r="H39" s="29"/>
      <c r="I39" s="29"/>
      <c r="J39" s="29"/>
      <c r="K39" s="29"/>
      <c r="L39" s="29"/>
    </row>
    <row r="40" customFormat="false" ht="15" hidden="false" customHeight="true" outlineLevel="0" collapsed="false">
      <c r="B40" s="27" t="s">
        <v>64</v>
      </c>
      <c r="C40" s="28" t="s">
        <v>65</v>
      </c>
      <c r="D40" s="28"/>
      <c r="E40" s="28"/>
      <c r="F40" s="29" t="s">
        <v>66</v>
      </c>
      <c r="G40" s="29"/>
      <c r="H40" s="29"/>
      <c r="I40" s="29"/>
      <c r="J40" s="29"/>
      <c r="K40" s="29"/>
      <c r="L40" s="29"/>
    </row>
    <row r="41" customFormat="false" ht="15" hidden="false" customHeight="true" outlineLevel="0" collapsed="false">
      <c r="B41" s="27" t="s">
        <v>67</v>
      </c>
      <c r="C41" s="28" t="s">
        <v>68</v>
      </c>
      <c r="D41" s="28"/>
      <c r="E41" s="28"/>
      <c r="F41" s="29" t="s">
        <v>69</v>
      </c>
      <c r="G41" s="29"/>
      <c r="H41" s="29"/>
      <c r="I41" s="29"/>
      <c r="J41" s="29"/>
      <c r="K41" s="29"/>
      <c r="L41" s="29"/>
    </row>
    <row r="42" customFormat="false" ht="15" hidden="false" customHeight="true" outlineLevel="0" collapsed="false">
      <c r="B42" s="27" t="s">
        <v>70</v>
      </c>
      <c r="C42" s="28" t="s">
        <v>71</v>
      </c>
      <c r="D42" s="28"/>
      <c r="E42" s="28"/>
      <c r="F42" s="29" t="s">
        <v>72</v>
      </c>
      <c r="G42" s="29"/>
      <c r="H42" s="29"/>
      <c r="I42" s="29"/>
      <c r="J42" s="29"/>
      <c r="K42" s="29"/>
      <c r="L42" s="29"/>
    </row>
    <row r="43" customFormat="false" ht="15" hidden="false" customHeight="true" outlineLevel="0" collapsed="false">
      <c r="B43" s="27" t="s">
        <v>73</v>
      </c>
      <c r="C43" s="28" t="s">
        <v>74</v>
      </c>
      <c r="D43" s="28"/>
      <c r="E43" s="28"/>
      <c r="F43" s="29" t="s">
        <v>75</v>
      </c>
      <c r="G43" s="29"/>
      <c r="H43" s="29"/>
      <c r="I43" s="29"/>
      <c r="J43" s="29"/>
      <c r="K43" s="29"/>
      <c r="L43" s="29"/>
    </row>
    <row r="46" customFormat="false" ht="15" hidden="false" customHeight="true" outlineLevel="0" collapsed="false">
      <c r="B46" s="30" t="s">
        <v>76</v>
      </c>
      <c r="C46" s="30"/>
      <c r="D46" s="30"/>
      <c r="E46" s="30"/>
      <c r="F46" s="30"/>
      <c r="G46" s="30"/>
      <c r="H46" s="30"/>
      <c r="I46" s="30"/>
      <c r="J46" s="30"/>
      <c r="K46" s="30"/>
      <c r="L46" s="30"/>
    </row>
  </sheetData>
  <mergeCells count="64">
    <mergeCell ref="H2:L2"/>
    <mergeCell ref="H3:L3"/>
    <mergeCell ref="B5:L5"/>
    <mergeCell ref="B6:L6"/>
    <mergeCell ref="B9:L9"/>
    <mergeCell ref="B12:C12"/>
    <mergeCell ref="D12:E12"/>
    <mergeCell ref="F12:G12"/>
    <mergeCell ref="H12:I12"/>
    <mergeCell ref="J12:K12"/>
    <mergeCell ref="L12:M12"/>
    <mergeCell ref="B13:C14"/>
    <mergeCell ref="D13:E14"/>
    <mergeCell ref="F13:G14"/>
    <mergeCell ref="H13:I14"/>
    <mergeCell ref="J13:K14"/>
    <mergeCell ref="L13:M14"/>
    <mergeCell ref="B16:L16"/>
    <mergeCell ref="C18:D18"/>
    <mergeCell ref="F18:G18"/>
    <mergeCell ref="I18:J18"/>
    <mergeCell ref="L18:M18"/>
    <mergeCell ref="C20:D20"/>
    <mergeCell ref="F20:G20"/>
    <mergeCell ref="I20:J20"/>
    <mergeCell ref="L20:M20"/>
    <mergeCell ref="C22:D22"/>
    <mergeCell ref="F22:G22"/>
    <mergeCell ref="I22:J22"/>
    <mergeCell ref="L22:M22"/>
    <mergeCell ref="B26:L26"/>
    <mergeCell ref="C28:E28"/>
    <mergeCell ref="F28:L28"/>
    <mergeCell ref="C29:E29"/>
    <mergeCell ref="F29:L29"/>
    <mergeCell ref="C30:E30"/>
    <mergeCell ref="F30:L30"/>
    <mergeCell ref="C31:E31"/>
    <mergeCell ref="F31:L31"/>
    <mergeCell ref="C32:E32"/>
    <mergeCell ref="F32:L32"/>
    <mergeCell ref="C33:E33"/>
    <mergeCell ref="F33:L33"/>
    <mergeCell ref="C34:E34"/>
    <mergeCell ref="F34:L34"/>
    <mergeCell ref="C35:E35"/>
    <mergeCell ref="F35:L35"/>
    <mergeCell ref="C36:E36"/>
    <mergeCell ref="F36:L36"/>
    <mergeCell ref="C37:E37"/>
    <mergeCell ref="F37:L37"/>
    <mergeCell ref="C38:E38"/>
    <mergeCell ref="F38:L38"/>
    <mergeCell ref="C39:E39"/>
    <mergeCell ref="F39:L39"/>
    <mergeCell ref="C40:E40"/>
    <mergeCell ref="F40:L40"/>
    <mergeCell ref="C41:E41"/>
    <mergeCell ref="F41:L41"/>
    <mergeCell ref="C42:E42"/>
    <mergeCell ref="F42:L42"/>
    <mergeCell ref="C43:E43"/>
    <mergeCell ref="F43:L43"/>
    <mergeCell ref="B46:L46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G83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5"/>
    <col collapsed="false" customWidth="true" hidden="false" outlineLevel="0" max="3" min="3" style="1" width="22"/>
    <col collapsed="false" customWidth="true" hidden="false" outlineLevel="0" max="6" min="4" style="1" width="14"/>
    <col collapsed="false" customWidth="true" hidden="false" outlineLevel="0" max="7" min="7" style="1" width="60"/>
  </cols>
  <sheetData>
    <row r="2" customFormat="false" ht="24" hidden="false" customHeight="true" outlineLevel="0" collapsed="false">
      <c r="B2" s="31" t="s">
        <v>77</v>
      </c>
      <c r="C2" s="31"/>
      <c r="D2" s="31"/>
      <c r="E2" s="31"/>
      <c r="F2" s="31"/>
      <c r="G2" s="31"/>
    </row>
    <row r="3" customFormat="false" ht="15" hidden="false" customHeight="true" outlineLevel="0" collapsed="false">
      <c r="B3" s="32" t="s">
        <v>78</v>
      </c>
      <c r="C3" s="32"/>
      <c r="D3" s="32"/>
      <c r="E3" s="32"/>
      <c r="F3" s="32"/>
      <c r="G3" s="32"/>
    </row>
    <row r="4" customFormat="false" ht="21.75" hidden="false" customHeight="true" outlineLevel="0" collapsed="false">
      <c r="B4" s="33" t="s">
        <v>79</v>
      </c>
      <c r="C4" s="33"/>
      <c r="D4" s="33"/>
      <c r="E4" s="33"/>
      <c r="F4" s="33"/>
      <c r="G4" s="33"/>
    </row>
    <row r="5" customFormat="false" ht="25.5" hidden="false" customHeight="true" outlineLevel="0" collapsed="false">
      <c r="B5" s="34" t="s">
        <v>80</v>
      </c>
      <c r="C5" s="34" t="s">
        <v>81</v>
      </c>
      <c r="D5" s="34" t="s">
        <v>82</v>
      </c>
      <c r="E5" s="34" t="s">
        <v>83</v>
      </c>
      <c r="F5" s="34" t="s">
        <v>84</v>
      </c>
      <c r="G5" s="34" t="s">
        <v>85</v>
      </c>
    </row>
    <row r="6" customFormat="false" ht="18" hidden="false" customHeight="true" outlineLevel="0" collapsed="false">
      <c r="B6" s="35" t="s">
        <v>86</v>
      </c>
      <c r="C6" s="36" t="s">
        <v>87</v>
      </c>
      <c r="D6" s="37" t="n">
        <f aca="false">'16_DataSources'!E43</f>
        <v>10589.2</v>
      </c>
      <c r="G6" s="38" t="s">
        <v>88</v>
      </c>
    </row>
    <row r="7" customFormat="false" ht="18" hidden="false" customHeight="true" outlineLevel="0" collapsed="false">
      <c r="B7" s="35" t="s">
        <v>89</v>
      </c>
      <c r="C7" s="36" t="s">
        <v>90</v>
      </c>
      <c r="D7" s="37" t="n">
        <f aca="false">'16_DataSources'!E44</f>
        <v>4221.96</v>
      </c>
      <c r="G7" s="38" t="s">
        <v>91</v>
      </c>
    </row>
    <row r="8" customFormat="false" ht="21.75" hidden="false" customHeight="true" outlineLevel="0" collapsed="false">
      <c r="B8" s="33" t="s">
        <v>92</v>
      </c>
      <c r="C8" s="33"/>
      <c r="D8" s="33"/>
      <c r="E8" s="33"/>
      <c r="F8" s="33"/>
      <c r="G8" s="33"/>
    </row>
    <row r="9" customFormat="false" ht="18" hidden="false" customHeight="true" outlineLevel="0" collapsed="false">
      <c r="B9" s="35" t="s">
        <v>93</v>
      </c>
      <c r="C9" s="36" t="s">
        <v>94</v>
      </c>
      <c r="D9" s="39" t="n">
        <v>800</v>
      </c>
      <c r="E9" s="39" t="n">
        <v>1200</v>
      </c>
      <c r="F9" s="40" t="n">
        <f aca="false">D9+E9</f>
        <v>2000</v>
      </c>
      <c r="G9" s="38" t="s">
        <v>95</v>
      </c>
    </row>
    <row r="10" customFormat="false" ht="18" hidden="false" customHeight="true" outlineLevel="0" collapsed="false">
      <c r="B10" s="35" t="s">
        <v>96</v>
      </c>
      <c r="C10" s="36" t="s">
        <v>97</v>
      </c>
      <c r="D10" s="41" t="n">
        <f aca="false">D9*$D$12</f>
        <v>1056</v>
      </c>
      <c r="E10" s="41" t="n">
        <f aca="false">E9*$D$12</f>
        <v>1584</v>
      </c>
      <c r="F10" s="40" t="n">
        <f aca="false">D10+E10</f>
        <v>2640</v>
      </c>
      <c r="G10" s="38" t="s">
        <v>98</v>
      </c>
    </row>
    <row r="11" customFormat="false" ht="18" hidden="false" customHeight="true" outlineLevel="0" collapsed="false">
      <c r="B11" s="35" t="s">
        <v>22</v>
      </c>
      <c r="C11" s="36" t="s">
        <v>99</v>
      </c>
      <c r="D11" s="42" t="n">
        <v>0.312</v>
      </c>
      <c r="G11" s="38" t="s">
        <v>100</v>
      </c>
    </row>
    <row r="12" customFormat="false" ht="18" hidden="false" customHeight="true" outlineLevel="0" collapsed="false">
      <c r="B12" s="35" t="s">
        <v>101</v>
      </c>
      <c r="C12" s="36" t="s">
        <v>102</v>
      </c>
      <c r="D12" s="43" t="n">
        <v>1.32</v>
      </c>
      <c r="G12" s="38" t="s">
        <v>103</v>
      </c>
    </row>
    <row r="13" customFormat="false" ht="18" hidden="false" customHeight="true" outlineLevel="0" collapsed="false">
      <c r="B13" s="35" t="s">
        <v>104</v>
      </c>
      <c r="C13" s="36" t="s">
        <v>105</v>
      </c>
      <c r="D13" s="41" t="n">
        <f aca="false">D9*8760*D11+E9*8760*D11</f>
        <v>5466240</v>
      </c>
      <c r="F13" s="40" t="n">
        <f aca="false">D13</f>
        <v>5466240</v>
      </c>
      <c r="G13" s="38" t="s">
        <v>106</v>
      </c>
    </row>
    <row r="14" customFormat="false" ht="21.75" hidden="false" customHeight="true" outlineLevel="0" collapsed="false">
      <c r="B14" s="33" t="s">
        <v>107</v>
      </c>
      <c r="C14" s="33"/>
      <c r="D14" s="33"/>
      <c r="E14" s="33"/>
      <c r="F14" s="33"/>
      <c r="G14" s="33"/>
    </row>
    <row r="15" customFormat="false" ht="18" hidden="false" customHeight="true" outlineLevel="0" collapsed="false">
      <c r="B15" s="35" t="s">
        <v>16</v>
      </c>
      <c r="C15" s="36" t="s">
        <v>108</v>
      </c>
      <c r="D15" s="44" t="n">
        <v>0</v>
      </c>
      <c r="E15" s="44" t="n">
        <v>200</v>
      </c>
      <c r="F15" s="45" t="n">
        <v>200</v>
      </c>
      <c r="G15" s="38" t="s">
        <v>109</v>
      </c>
    </row>
    <row r="16" customFormat="false" ht="18" hidden="false" customHeight="true" outlineLevel="0" collapsed="false">
      <c r="B16" s="35" t="s">
        <v>110</v>
      </c>
      <c r="C16" s="36" t="s">
        <v>111</v>
      </c>
      <c r="D16" s="44" t="n">
        <v>0</v>
      </c>
      <c r="E16" s="44" t="n">
        <v>4</v>
      </c>
      <c r="F16" s="45" t="n">
        <f aca="false">E16</f>
        <v>4</v>
      </c>
      <c r="G16" s="38" t="s">
        <v>112</v>
      </c>
    </row>
    <row r="17" customFormat="false" ht="18" hidden="false" customHeight="true" outlineLevel="0" collapsed="false">
      <c r="B17" s="35" t="s">
        <v>17</v>
      </c>
      <c r="C17" s="36" t="s">
        <v>113</v>
      </c>
      <c r="D17" s="41" t="n">
        <f aca="false">D15*D16</f>
        <v>0</v>
      </c>
      <c r="E17" s="41" t="n">
        <f aca="false">E15*E16</f>
        <v>800</v>
      </c>
      <c r="F17" s="40" t="n">
        <f aca="false">F15*F16</f>
        <v>800</v>
      </c>
      <c r="G17" s="38" t="s">
        <v>114</v>
      </c>
    </row>
    <row r="18" customFormat="false" ht="21.75" hidden="false" customHeight="true" outlineLevel="0" collapsed="false">
      <c r="B18" s="33" t="s">
        <v>115</v>
      </c>
      <c r="C18" s="33"/>
      <c r="D18" s="33"/>
      <c r="E18" s="33"/>
      <c r="F18" s="33"/>
      <c r="G18" s="33"/>
    </row>
    <row r="19" customFormat="false" ht="18" hidden="false" customHeight="true" outlineLevel="0" collapsed="false">
      <c r="B19" s="35" t="s">
        <v>18</v>
      </c>
      <c r="C19" s="36" t="s">
        <v>116</v>
      </c>
      <c r="D19" s="44" t="n">
        <v>0</v>
      </c>
      <c r="E19" s="44" t="n">
        <v>350</v>
      </c>
      <c r="F19" s="45" t="n">
        <v>350</v>
      </c>
      <c r="G19" s="38" t="s">
        <v>117</v>
      </c>
    </row>
    <row r="20" customFormat="false" ht="18" hidden="false" customHeight="true" outlineLevel="0" collapsed="false">
      <c r="B20" s="35" t="s">
        <v>118</v>
      </c>
      <c r="C20" s="36" t="s">
        <v>119</v>
      </c>
      <c r="D20" s="43" t="n">
        <v>1.2</v>
      </c>
      <c r="G20" s="38" t="s">
        <v>120</v>
      </c>
    </row>
    <row r="21" customFormat="false" ht="18" hidden="false" customHeight="true" outlineLevel="0" collapsed="false">
      <c r="B21" s="35" t="s">
        <v>121</v>
      </c>
      <c r="C21" s="36" t="s">
        <v>122</v>
      </c>
      <c r="D21" s="46" t="n">
        <f aca="false">E19*D20</f>
        <v>420</v>
      </c>
      <c r="F21" s="45" t="n">
        <f aca="false">D21</f>
        <v>420</v>
      </c>
      <c r="G21" s="38" t="s">
        <v>123</v>
      </c>
    </row>
    <row r="22" customFormat="false" ht="18" hidden="false" customHeight="true" outlineLevel="0" collapsed="false">
      <c r="B22" s="35" t="s">
        <v>124</v>
      </c>
      <c r="C22" s="36" t="s">
        <v>125</v>
      </c>
      <c r="D22" s="44" t="n">
        <v>0</v>
      </c>
      <c r="E22" s="44" t="n">
        <v>50</v>
      </c>
      <c r="F22" s="45" t="n">
        <v>50</v>
      </c>
      <c r="G22" s="38" t="s">
        <v>126</v>
      </c>
    </row>
    <row r="23" customFormat="false" ht="21.75" hidden="false" customHeight="true" outlineLevel="0" collapsed="false">
      <c r="B23" s="33" t="s">
        <v>127</v>
      </c>
      <c r="C23" s="33"/>
      <c r="D23" s="33"/>
      <c r="E23" s="33"/>
      <c r="F23" s="33"/>
      <c r="G23" s="33"/>
    </row>
    <row r="24" customFormat="false" ht="18" hidden="false" customHeight="true" outlineLevel="0" collapsed="false">
      <c r="B24" s="35" t="s">
        <v>23</v>
      </c>
      <c r="C24" s="36" t="s">
        <v>128</v>
      </c>
      <c r="D24" s="44" t="n">
        <v>12</v>
      </c>
      <c r="E24" s="44" t="n">
        <v>24</v>
      </c>
      <c r="F24" s="45" t="n">
        <f aca="false">D24+E24</f>
        <v>36</v>
      </c>
      <c r="G24" s="38" t="s">
        <v>129</v>
      </c>
    </row>
    <row r="25" customFormat="false" ht="18" hidden="false" customHeight="true" outlineLevel="0" collapsed="false">
      <c r="B25" s="35" t="s">
        <v>24</v>
      </c>
      <c r="C25" s="36" t="s">
        <v>130</v>
      </c>
      <c r="D25" s="44" t="n">
        <v>30</v>
      </c>
      <c r="G25" s="38" t="s">
        <v>131</v>
      </c>
    </row>
    <row r="26" customFormat="false" ht="18" hidden="false" customHeight="true" outlineLevel="0" collapsed="false">
      <c r="B26" s="35" t="s">
        <v>132</v>
      </c>
      <c r="C26" s="36" t="s">
        <v>133</v>
      </c>
      <c r="D26" s="44" t="n">
        <v>2027</v>
      </c>
      <c r="G26" s="38" t="s">
        <v>134</v>
      </c>
    </row>
    <row r="27" customFormat="false" ht="21.75" hidden="false" customHeight="true" outlineLevel="0" collapsed="false">
      <c r="B27" s="33" t="s">
        <v>135</v>
      </c>
      <c r="C27" s="33"/>
      <c r="D27" s="33"/>
      <c r="E27" s="33"/>
      <c r="F27" s="33"/>
      <c r="G27" s="33"/>
    </row>
    <row r="28" customFormat="false" ht="18" hidden="false" customHeight="true" outlineLevel="0" collapsed="false">
      <c r="B28" s="35" t="s">
        <v>7</v>
      </c>
      <c r="C28" s="36" t="s">
        <v>136</v>
      </c>
      <c r="D28" s="41" t="n">
        <f aca="false">'04_CAPEX'!I33</f>
        <v>4551.25725</v>
      </c>
      <c r="F28" s="40" t="n">
        <f aca="false">D28</f>
        <v>4551.25725</v>
      </c>
      <c r="G28" s="38" t="s">
        <v>137</v>
      </c>
    </row>
    <row r="29" customFormat="false" ht="21.75" hidden="false" customHeight="true" outlineLevel="0" collapsed="false">
      <c r="B29" s="33" t="s">
        <v>138</v>
      </c>
      <c r="C29" s="33"/>
      <c r="D29" s="33"/>
      <c r="E29" s="33"/>
      <c r="F29" s="33"/>
      <c r="G29" s="33"/>
    </row>
    <row r="30" customFormat="false" ht="24" hidden="false" customHeight="true" outlineLevel="0" collapsed="false">
      <c r="B30" s="34" t="s">
        <v>80</v>
      </c>
      <c r="C30" s="34" t="s">
        <v>81</v>
      </c>
      <c r="D30" s="34" t="s">
        <v>82</v>
      </c>
      <c r="E30" s="34" t="s">
        <v>83</v>
      </c>
      <c r="F30" s="34" t="s">
        <v>84</v>
      </c>
      <c r="G30" s="34" t="s">
        <v>85</v>
      </c>
    </row>
    <row r="31" customFormat="false" ht="18" hidden="false" customHeight="true" outlineLevel="0" collapsed="false">
      <c r="B31" s="35" t="s">
        <v>139</v>
      </c>
      <c r="C31" s="36" t="s">
        <v>140</v>
      </c>
      <c r="D31" s="47" t="n">
        <v>38</v>
      </c>
      <c r="E31" s="47" t="n">
        <v>0.02</v>
      </c>
      <c r="G31" s="38" t="s">
        <v>141</v>
      </c>
    </row>
    <row r="32" customFormat="false" ht="18" hidden="false" customHeight="true" outlineLevel="0" collapsed="false">
      <c r="B32" s="35" t="s">
        <v>142</v>
      </c>
      <c r="C32" s="36" t="s">
        <v>143</v>
      </c>
      <c r="D32" s="47" t="n">
        <v>72</v>
      </c>
      <c r="E32" s="47" t="n">
        <v>0.025</v>
      </c>
      <c r="G32" s="38" t="s">
        <v>144</v>
      </c>
    </row>
    <row r="33" customFormat="false" ht="18" hidden="false" customHeight="true" outlineLevel="0" collapsed="false">
      <c r="B33" s="35" t="s">
        <v>145</v>
      </c>
      <c r="C33" s="36" t="s">
        <v>146</v>
      </c>
      <c r="D33" s="47" t="n">
        <v>1.5</v>
      </c>
      <c r="E33" s="47" t="n">
        <v>0.015</v>
      </c>
      <c r="G33" s="38" t="s">
        <v>147</v>
      </c>
    </row>
    <row r="34" customFormat="false" ht="18" hidden="false" customHeight="true" outlineLevel="0" collapsed="false">
      <c r="B34" s="35" t="s">
        <v>148</v>
      </c>
      <c r="C34" s="36" t="s">
        <v>149</v>
      </c>
      <c r="D34" s="47" t="n">
        <v>16</v>
      </c>
      <c r="E34" s="47" t="n">
        <v>0.02</v>
      </c>
      <c r="G34" s="38" t="s">
        <v>150</v>
      </c>
    </row>
    <row r="35" customFormat="false" ht="18" hidden="false" customHeight="true" outlineLevel="0" collapsed="false">
      <c r="B35" s="35" t="s">
        <v>151</v>
      </c>
      <c r="C35" s="36" t="s">
        <v>152</v>
      </c>
      <c r="D35" s="47" t="n">
        <v>4.5</v>
      </c>
      <c r="E35" s="47" t="n">
        <v>0.02</v>
      </c>
      <c r="G35" s="38" t="s">
        <v>153</v>
      </c>
    </row>
    <row r="36" customFormat="false" ht="18" hidden="false" customHeight="true" outlineLevel="0" collapsed="false">
      <c r="B36" s="35" t="s">
        <v>154</v>
      </c>
      <c r="C36" s="36" t="s">
        <v>155</v>
      </c>
      <c r="D36" s="48" t="n">
        <v>52</v>
      </c>
      <c r="G36" s="38" t="s">
        <v>156</v>
      </c>
    </row>
    <row r="37" customFormat="false" ht="18" hidden="false" customHeight="true" outlineLevel="0" collapsed="false">
      <c r="B37" s="35" t="s">
        <v>157</v>
      </c>
      <c r="C37" s="36" t="s">
        <v>158</v>
      </c>
      <c r="D37" s="49" t="n">
        <v>1</v>
      </c>
      <c r="G37" s="38" t="s">
        <v>159</v>
      </c>
    </row>
    <row r="38" customFormat="false" ht="18" hidden="false" customHeight="true" outlineLevel="0" collapsed="false">
      <c r="B38" s="35" t="s">
        <v>160</v>
      </c>
      <c r="C38" s="36" t="s">
        <v>161</v>
      </c>
      <c r="E38" s="49" t="n">
        <v>0.85</v>
      </c>
      <c r="G38" s="38" t="s">
        <v>162</v>
      </c>
    </row>
    <row r="39" customFormat="false" ht="21.75" hidden="false" customHeight="true" outlineLevel="0" collapsed="false">
      <c r="B39" s="33" t="s">
        <v>163</v>
      </c>
      <c r="C39" s="33"/>
      <c r="D39" s="33"/>
      <c r="E39" s="33"/>
      <c r="F39" s="33"/>
      <c r="G39" s="33"/>
    </row>
    <row r="40" customFormat="false" ht="18" hidden="false" customHeight="true" outlineLevel="0" collapsed="false">
      <c r="B40" s="35" t="s">
        <v>164</v>
      </c>
      <c r="C40" s="36" t="s">
        <v>165</v>
      </c>
      <c r="D40" s="50" t="n">
        <v>0.105</v>
      </c>
      <c r="G40" s="38" t="s">
        <v>166</v>
      </c>
    </row>
    <row r="41" customFormat="false" ht="18" hidden="false" customHeight="true" outlineLevel="0" collapsed="false">
      <c r="B41" s="35" t="s">
        <v>167</v>
      </c>
      <c r="C41" s="36" t="s">
        <v>168</v>
      </c>
      <c r="D41" s="50" t="n">
        <v>0.39</v>
      </c>
      <c r="G41" s="38" t="s">
        <v>169</v>
      </c>
    </row>
    <row r="42" customFormat="false" ht="18" hidden="false" customHeight="true" outlineLevel="0" collapsed="false">
      <c r="B42" s="35" t="s">
        <v>170</v>
      </c>
      <c r="C42" s="36" t="s">
        <v>171</v>
      </c>
      <c r="D42" s="50" t="n">
        <v>0.085</v>
      </c>
      <c r="G42" s="38" t="s">
        <v>172</v>
      </c>
    </row>
    <row r="43" customFormat="false" ht="18" hidden="false" customHeight="true" outlineLevel="0" collapsed="false">
      <c r="B43" s="35" t="s">
        <v>173</v>
      </c>
      <c r="C43" s="36" t="s">
        <v>168</v>
      </c>
      <c r="D43" s="50" t="n">
        <v>0.045</v>
      </c>
      <c r="G43" s="38" t="s">
        <v>174</v>
      </c>
    </row>
    <row r="44" customFormat="false" ht="18" hidden="false" customHeight="true" outlineLevel="0" collapsed="false">
      <c r="B44" s="35" t="s">
        <v>175</v>
      </c>
      <c r="C44" s="36" t="s">
        <v>168</v>
      </c>
      <c r="D44" s="50" t="n">
        <v>0.025</v>
      </c>
      <c r="G44" s="38" t="s">
        <v>176</v>
      </c>
    </row>
    <row r="45" customFormat="false" ht="18" hidden="false" customHeight="true" outlineLevel="0" collapsed="false">
      <c r="B45" s="35" t="s">
        <v>177</v>
      </c>
      <c r="C45" s="36" t="s">
        <v>178</v>
      </c>
      <c r="D45" s="51" t="n">
        <f aca="false">D40+D41+D42+D43+D44</f>
        <v>0.65</v>
      </c>
      <c r="G45" s="38" t="s">
        <v>179</v>
      </c>
    </row>
    <row r="46" customFormat="false" ht="18" hidden="false" customHeight="true" outlineLevel="0" collapsed="false">
      <c r="B46" s="35" t="s">
        <v>180</v>
      </c>
      <c r="C46" s="36" t="s">
        <v>181</v>
      </c>
      <c r="D46" s="52" t="n">
        <v>280</v>
      </c>
      <c r="G46" s="38" t="s">
        <v>182</v>
      </c>
    </row>
    <row r="47" customFormat="false" ht="18" hidden="false" customHeight="true" outlineLevel="0" collapsed="false">
      <c r="B47" s="35" t="s">
        <v>183</v>
      </c>
      <c r="C47" s="36" t="s">
        <v>184</v>
      </c>
      <c r="D47" s="52" t="n">
        <v>65</v>
      </c>
      <c r="G47" s="38" t="s">
        <v>185</v>
      </c>
    </row>
    <row r="48" customFormat="false" ht="18" hidden="false" customHeight="true" outlineLevel="0" collapsed="false">
      <c r="B48" s="35" t="s">
        <v>186</v>
      </c>
      <c r="C48" s="36" t="s">
        <v>187</v>
      </c>
      <c r="D48" s="53" t="n">
        <v>6</v>
      </c>
      <c r="G48" s="38" t="s">
        <v>188</v>
      </c>
    </row>
    <row r="49" customFormat="false" ht="18" hidden="false" customHeight="true" outlineLevel="0" collapsed="false">
      <c r="B49" s="35" t="s">
        <v>189</v>
      </c>
      <c r="C49" s="36" t="s">
        <v>190</v>
      </c>
      <c r="D49" s="52" t="n">
        <v>1100</v>
      </c>
      <c r="G49" s="38" t="s">
        <v>191</v>
      </c>
    </row>
    <row r="50" customFormat="false" ht="18" hidden="false" customHeight="true" outlineLevel="0" collapsed="false">
      <c r="B50" s="35" t="s">
        <v>192</v>
      </c>
      <c r="C50" s="36" t="s">
        <v>193</v>
      </c>
      <c r="D50" s="53" t="n">
        <v>2.15</v>
      </c>
      <c r="G50" s="38" t="s">
        <v>194</v>
      </c>
    </row>
    <row r="51" customFormat="false" ht="18" hidden="false" customHeight="true" outlineLevel="0" collapsed="false">
      <c r="B51" s="35" t="s">
        <v>195</v>
      </c>
      <c r="C51" s="36" t="s">
        <v>196</v>
      </c>
      <c r="D51" s="52" t="n">
        <v>85</v>
      </c>
      <c r="G51" s="38" t="s">
        <v>197</v>
      </c>
    </row>
    <row r="52" customFormat="false" ht="21.75" hidden="false" customHeight="true" outlineLevel="0" collapsed="false">
      <c r="B52" s="33" t="s">
        <v>198</v>
      </c>
      <c r="C52" s="33"/>
      <c r="D52" s="33"/>
      <c r="E52" s="33"/>
      <c r="F52" s="33"/>
      <c r="G52" s="33"/>
    </row>
    <row r="53" customFormat="false" ht="18" hidden="false" customHeight="true" outlineLevel="0" collapsed="false">
      <c r="B53" s="35" t="s">
        <v>199</v>
      </c>
      <c r="C53" s="36" t="s">
        <v>200</v>
      </c>
      <c r="D53" s="47" t="n">
        <v>12</v>
      </c>
      <c r="E53" s="47" t="n">
        <v>0.02</v>
      </c>
      <c r="G53" s="38" t="s">
        <v>201</v>
      </c>
    </row>
    <row r="54" customFormat="false" ht="18" hidden="false" customHeight="true" outlineLevel="0" collapsed="false">
      <c r="B54" s="35" t="s">
        <v>202</v>
      </c>
      <c r="C54" s="36" t="s">
        <v>203</v>
      </c>
      <c r="D54" s="53" t="n">
        <v>1.5</v>
      </c>
      <c r="G54" s="38" t="s">
        <v>204</v>
      </c>
    </row>
    <row r="55" customFormat="false" ht="18" hidden="false" customHeight="true" outlineLevel="0" collapsed="false">
      <c r="B55" s="35" t="s">
        <v>205</v>
      </c>
      <c r="C55" s="36" t="s">
        <v>200</v>
      </c>
      <c r="D55" s="47" t="n">
        <v>8</v>
      </c>
      <c r="E55" s="47" t="n">
        <v>0.02</v>
      </c>
      <c r="G55" s="38" t="s">
        <v>206</v>
      </c>
    </row>
    <row r="56" customFormat="false" ht="18" hidden="false" customHeight="true" outlineLevel="0" collapsed="false">
      <c r="B56" s="35" t="s">
        <v>207</v>
      </c>
      <c r="C56" s="36" t="s">
        <v>208</v>
      </c>
      <c r="D56" s="52" t="n">
        <v>220</v>
      </c>
      <c r="E56" s="52" t="n">
        <v>0.025</v>
      </c>
      <c r="G56" s="38" t="s">
        <v>209</v>
      </c>
    </row>
    <row r="57" customFormat="false" ht="18" hidden="false" customHeight="true" outlineLevel="0" collapsed="false">
      <c r="B57" s="35" t="s">
        <v>210</v>
      </c>
      <c r="C57" s="36" t="s">
        <v>211</v>
      </c>
      <c r="D57" s="54" t="n">
        <v>0.0035</v>
      </c>
      <c r="G57" s="38" t="s">
        <v>212</v>
      </c>
    </row>
    <row r="58" customFormat="false" ht="18" hidden="false" customHeight="true" outlineLevel="0" collapsed="false">
      <c r="B58" s="35" t="s">
        <v>213</v>
      </c>
      <c r="C58" s="36" t="s">
        <v>214</v>
      </c>
      <c r="D58" s="52" t="n">
        <v>35</v>
      </c>
      <c r="E58" s="52" t="n">
        <v>0.045</v>
      </c>
      <c r="G58" s="38" t="s">
        <v>215</v>
      </c>
    </row>
    <row r="59" customFormat="false" ht="18" hidden="false" customHeight="true" outlineLevel="0" collapsed="false">
      <c r="B59" s="35" t="s">
        <v>216</v>
      </c>
      <c r="C59" s="36" t="s">
        <v>217</v>
      </c>
      <c r="D59" s="54" t="n">
        <v>0.005</v>
      </c>
      <c r="G59" s="38" t="s">
        <v>218</v>
      </c>
    </row>
    <row r="60" customFormat="false" ht="21.75" hidden="false" customHeight="true" outlineLevel="0" collapsed="false">
      <c r="B60" s="33" t="s">
        <v>219</v>
      </c>
      <c r="C60" s="33"/>
      <c r="D60" s="33"/>
      <c r="E60" s="33"/>
      <c r="F60" s="33"/>
      <c r="G60" s="33"/>
    </row>
    <row r="61" customFormat="false" ht="18" hidden="false" customHeight="true" outlineLevel="0" collapsed="false">
      <c r="B61" s="35" t="s">
        <v>220</v>
      </c>
      <c r="C61" s="36" t="s">
        <v>221</v>
      </c>
      <c r="D61" s="43" t="n">
        <v>5.1</v>
      </c>
      <c r="E61" s="43" t="n">
        <v>0.02</v>
      </c>
      <c r="G61" s="38" t="s">
        <v>222</v>
      </c>
    </row>
    <row r="62" customFormat="false" ht="18" hidden="false" customHeight="true" outlineLevel="0" collapsed="false">
      <c r="B62" s="35" t="s">
        <v>223</v>
      </c>
      <c r="C62" s="36" t="s">
        <v>217</v>
      </c>
      <c r="D62" s="42" t="n">
        <v>0.022</v>
      </c>
      <c r="G62" s="38" t="s">
        <v>224</v>
      </c>
    </row>
    <row r="63" customFormat="false" ht="18" hidden="false" customHeight="true" outlineLevel="0" collapsed="false">
      <c r="B63" s="35" t="s">
        <v>225</v>
      </c>
      <c r="C63" s="36" t="s">
        <v>217</v>
      </c>
      <c r="D63" s="42" t="n">
        <v>0.045</v>
      </c>
      <c r="G63" s="38" t="s">
        <v>226</v>
      </c>
    </row>
    <row r="64" customFormat="false" ht="18" hidden="false" customHeight="true" outlineLevel="0" collapsed="false">
      <c r="B64" s="35" t="s">
        <v>227</v>
      </c>
      <c r="C64" s="36" t="s">
        <v>228</v>
      </c>
      <c r="D64" s="42" t="n">
        <v>0.085</v>
      </c>
      <c r="G64" s="38" t="s">
        <v>229</v>
      </c>
    </row>
    <row r="65" customFormat="false" ht="18" hidden="false" customHeight="true" outlineLevel="0" collapsed="false">
      <c r="B65" s="35" t="s">
        <v>230</v>
      </c>
      <c r="C65" s="36" t="s">
        <v>231</v>
      </c>
      <c r="D65" s="42" t="n">
        <v>0.12</v>
      </c>
      <c r="G65" s="38" t="s">
        <v>232</v>
      </c>
    </row>
    <row r="66" customFormat="false" ht="18" hidden="false" customHeight="true" outlineLevel="0" collapsed="false">
      <c r="B66" s="35" t="s">
        <v>233</v>
      </c>
      <c r="C66" s="36" t="s">
        <v>234</v>
      </c>
      <c r="D66" s="42" t="n">
        <v>0.105</v>
      </c>
      <c r="G66" s="38" t="s">
        <v>235</v>
      </c>
    </row>
    <row r="67" customFormat="false" ht="18" hidden="false" customHeight="true" outlineLevel="0" collapsed="false">
      <c r="B67" s="35" t="s">
        <v>236</v>
      </c>
      <c r="C67" s="36" t="s">
        <v>237</v>
      </c>
      <c r="D67" s="42" t="n">
        <v>0.075</v>
      </c>
      <c r="G67" s="38" t="s">
        <v>238</v>
      </c>
    </row>
    <row r="68" customFormat="false" ht="18" hidden="false" customHeight="true" outlineLevel="0" collapsed="false">
      <c r="B68" s="35" t="s">
        <v>239</v>
      </c>
      <c r="C68" s="36" t="s">
        <v>240</v>
      </c>
      <c r="D68" s="42" t="n">
        <v>0.65</v>
      </c>
      <c r="G68" s="38" t="s">
        <v>241</v>
      </c>
    </row>
    <row r="69" customFormat="false" ht="18" hidden="false" customHeight="true" outlineLevel="0" collapsed="false">
      <c r="B69" s="35" t="s">
        <v>242</v>
      </c>
      <c r="C69" s="36" t="s">
        <v>130</v>
      </c>
      <c r="D69" s="44" t="n">
        <v>18</v>
      </c>
      <c r="G69" s="38" t="s">
        <v>243</v>
      </c>
    </row>
    <row r="70" customFormat="false" ht="18" hidden="false" customHeight="true" outlineLevel="0" collapsed="false">
      <c r="B70" s="35" t="s">
        <v>244</v>
      </c>
      <c r="C70" s="36" t="s">
        <v>245</v>
      </c>
      <c r="D70" s="43" t="n">
        <v>1.3</v>
      </c>
      <c r="G70" s="38" t="s">
        <v>246</v>
      </c>
    </row>
    <row r="71" customFormat="false" ht="21.75" hidden="false" customHeight="true" outlineLevel="0" collapsed="false">
      <c r="B71" s="33" t="s">
        <v>247</v>
      </c>
      <c r="C71" s="33"/>
      <c r="D71" s="33"/>
      <c r="E71" s="33"/>
      <c r="F71" s="33"/>
      <c r="G71" s="33"/>
    </row>
    <row r="72" customFormat="false" ht="18" hidden="false" customHeight="true" outlineLevel="0" collapsed="false">
      <c r="B72" s="35" t="s">
        <v>248</v>
      </c>
      <c r="C72" s="36" t="s">
        <v>249</v>
      </c>
      <c r="D72" s="42" t="n">
        <v>0.25</v>
      </c>
      <c r="G72" s="38" t="s">
        <v>250</v>
      </c>
    </row>
    <row r="73" customFormat="false" ht="18" hidden="false" customHeight="true" outlineLevel="0" collapsed="false">
      <c r="B73" s="35" t="s">
        <v>251</v>
      </c>
      <c r="C73" s="36" t="s">
        <v>252</v>
      </c>
      <c r="D73" s="42" t="n">
        <v>0.75</v>
      </c>
      <c r="G73" s="38" t="s">
        <v>253</v>
      </c>
    </row>
    <row r="74" customFormat="false" ht="18" hidden="false" customHeight="true" outlineLevel="0" collapsed="false">
      <c r="B74" s="35" t="s">
        <v>254</v>
      </c>
      <c r="C74" s="36" t="s">
        <v>130</v>
      </c>
      <c r="D74" s="44" t="n">
        <v>10</v>
      </c>
      <c r="G74" s="38" t="s">
        <v>255</v>
      </c>
    </row>
    <row r="75" customFormat="false" ht="18" hidden="false" customHeight="true" outlineLevel="0" collapsed="false">
      <c r="B75" s="35" t="s">
        <v>256</v>
      </c>
      <c r="C75" s="36" t="s">
        <v>257</v>
      </c>
      <c r="D75" s="42" t="n">
        <v>0.09</v>
      </c>
      <c r="G75" s="38" t="s">
        <v>258</v>
      </c>
    </row>
    <row r="76" customFormat="false" ht="18" hidden="false" customHeight="true" outlineLevel="0" collapsed="false">
      <c r="B76" s="35" t="s">
        <v>259</v>
      </c>
      <c r="C76" s="36" t="s">
        <v>260</v>
      </c>
      <c r="D76" s="42" t="n">
        <v>0.0925</v>
      </c>
      <c r="G76" s="38" t="s">
        <v>261</v>
      </c>
    </row>
    <row r="77" customFormat="false" ht="18" hidden="false" customHeight="true" outlineLevel="0" collapsed="false">
      <c r="B77" s="35" t="s">
        <v>262</v>
      </c>
      <c r="C77" s="36" t="s">
        <v>263</v>
      </c>
      <c r="D77" s="42" t="n">
        <v>0.0925</v>
      </c>
      <c r="G77" s="38" t="s">
        <v>264</v>
      </c>
    </row>
    <row r="78" customFormat="false" ht="21.75" hidden="false" customHeight="true" outlineLevel="0" collapsed="false">
      <c r="B78" s="33" t="s">
        <v>265</v>
      </c>
      <c r="C78" s="33"/>
      <c r="D78" s="33"/>
      <c r="E78" s="33"/>
      <c r="F78" s="33"/>
      <c r="G78" s="33"/>
    </row>
    <row r="79" customFormat="false" ht="18" hidden="false" customHeight="true" outlineLevel="0" collapsed="false">
      <c r="B79" s="35" t="s">
        <v>266</v>
      </c>
      <c r="C79" s="36" t="s">
        <v>267</v>
      </c>
      <c r="D79" s="44" t="n">
        <v>2</v>
      </c>
      <c r="G79" s="38" t="s">
        <v>268</v>
      </c>
    </row>
    <row r="80" customFormat="false" ht="18" hidden="false" customHeight="true" outlineLevel="0" collapsed="false">
      <c r="B80" s="35" t="s">
        <v>269</v>
      </c>
      <c r="C80" s="36" t="s">
        <v>270</v>
      </c>
      <c r="D80" s="44" t="n">
        <v>2</v>
      </c>
      <c r="G80" s="38" t="s">
        <v>271</v>
      </c>
    </row>
    <row r="81" customFormat="false" ht="18" hidden="false" customHeight="true" outlineLevel="0" collapsed="false">
      <c r="B81" s="35" t="s">
        <v>272</v>
      </c>
      <c r="C81" s="36" t="s">
        <v>273</v>
      </c>
      <c r="D81" s="55" t="n">
        <f aca="false">IF(D79=1,0.95,IF(D79=2,1,1.05))</f>
        <v>1</v>
      </c>
      <c r="G81" s="38" t="s">
        <v>274</v>
      </c>
    </row>
    <row r="82" customFormat="false" ht="18" hidden="false" customHeight="true" outlineLevel="0" collapsed="false">
      <c r="B82" s="35" t="s">
        <v>275</v>
      </c>
      <c r="C82" s="36" t="s">
        <v>276</v>
      </c>
      <c r="D82" s="55" t="n">
        <f aca="false">IF(D79=1,0.92,IF(D79=2,1,1.1))</f>
        <v>1</v>
      </c>
      <c r="G82" s="38" t="s">
        <v>277</v>
      </c>
    </row>
    <row r="83" customFormat="false" ht="18" hidden="false" customHeight="true" outlineLevel="0" collapsed="false">
      <c r="B83" s="35" t="s">
        <v>278</v>
      </c>
      <c r="C83" s="36" t="s">
        <v>279</v>
      </c>
      <c r="D83" s="55" t="n">
        <f aca="false">IF(D79=1,1.12,IF(D79=2,1,0.95))</f>
        <v>1</v>
      </c>
      <c r="G83" s="38" t="s">
        <v>280</v>
      </c>
    </row>
  </sheetData>
  <mergeCells count="14">
    <mergeCell ref="B2:G2"/>
    <mergeCell ref="B3:G3"/>
    <mergeCell ref="B4:G4"/>
    <mergeCell ref="B8:G8"/>
    <mergeCell ref="B14:G14"/>
    <mergeCell ref="B18:G18"/>
    <mergeCell ref="B23:G23"/>
    <mergeCell ref="B27:G27"/>
    <mergeCell ref="B29:G29"/>
    <mergeCell ref="B39:G39"/>
    <mergeCell ref="B52:G52"/>
    <mergeCell ref="B60:G60"/>
    <mergeCell ref="B71:G71"/>
    <mergeCell ref="B78:G7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AG2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7" topLeftCell="D8" activePane="bottomRight" state="frozen"/>
      <selection pane="topLeft" activeCell="A1" activeCellId="0" sqref="A1"/>
      <selection pane="topRight" activeCell="D1" activeCellId="0" sqref="D1"/>
      <selection pane="bottomLeft" activeCell="A8" activeCellId="0" sqref="A8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11"/>
    <col collapsed="false" customWidth="true" hidden="false" outlineLevel="0" max="35" min="2" style="1" width="12"/>
  </cols>
  <sheetData>
    <row r="2" customFormat="false" ht="24" hidden="false" customHeight="true" outlineLevel="0" collapsed="false">
      <c r="B2" s="31" t="s">
        <v>281</v>
      </c>
      <c r="C2" s="31"/>
      <c r="D2" s="31"/>
      <c r="E2" s="31"/>
      <c r="F2" s="31"/>
      <c r="G2" s="31"/>
      <c r="H2" s="31"/>
      <c r="I2" s="31"/>
      <c r="J2" s="31"/>
      <c r="K2" s="31"/>
    </row>
    <row r="3" customFormat="false" ht="15" hidden="false" customHeight="true" outlineLevel="0" collapsed="false">
      <c r="B3" s="32" t="s">
        <v>282</v>
      </c>
      <c r="C3" s="32"/>
      <c r="D3" s="32"/>
      <c r="E3" s="32"/>
      <c r="F3" s="32"/>
      <c r="G3" s="32"/>
      <c r="H3" s="32"/>
      <c r="I3" s="32"/>
      <c r="J3" s="32"/>
      <c r="K3" s="32"/>
    </row>
    <row r="5" customFormat="false" ht="21.75" hidden="false" customHeight="true" outlineLevel="0" collapsed="false">
      <c r="B5" s="56" t="s">
        <v>283</v>
      </c>
      <c r="C5" s="57" t="s">
        <v>284</v>
      </c>
      <c r="D5" s="58" t="s">
        <v>285</v>
      </c>
      <c r="E5" s="58" t="s">
        <v>286</v>
      </c>
      <c r="F5" s="58" t="s">
        <v>287</v>
      </c>
      <c r="G5" s="58" t="s">
        <v>288</v>
      </c>
      <c r="H5" s="58" t="s">
        <v>289</v>
      </c>
      <c r="I5" s="58" t="s">
        <v>290</v>
      </c>
      <c r="J5" s="58" t="s">
        <v>291</v>
      </c>
      <c r="K5" s="58" t="s">
        <v>292</v>
      </c>
      <c r="L5" s="58" t="s">
        <v>293</v>
      </c>
      <c r="M5" s="58" t="s">
        <v>294</v>
      </c>
      <c r="N5" s="58" t="s">
        <v>295</v>
      </c>
      <c r="O5" s="58" t="s">
        <v>296</v>
      </c>
      <c r="P5" s="58" t="s">
        <v>297</v>
      </c>
      <c r="Q5" s="58" t="s">
        <v>298</v>
      </c>
      <c r="R5" s="58" t="s">
        <v>299</v>
      </c>
      <c r="S5" s="58" t="s">
        <v>300</v>
      </c>
      <c r="T5" s="58" t="s">
        <v>301</v>
      </c>
      <c r="U5" s="58" t="s">
        <v>302</v>
      </c>
      <c r="V5" s="58" t="s">
        <v>303</v>
      </c>
      <c r="W5" s="58" t="s">
        <v>304</v>
      </c>
      <c r="X5" s="58" t="s">
        <v>305</v>
      </c>
      <c r="Y5" s="58" t="s">
        <v>306</v>
      </c>
      <c r="Z5" s="58" t="s">
        <v>307</v>
      </c>
      <c r="AA5" s="58" t="s">
        <v>308</v>
      </c>
      <c r="AB5" s="58" t="s">
        <v>309</v>
      </c>
      <c r="AC5" s="58" t="s">
        <v>310</v>
      </c>
      <c r="AD5" s="58" t="s">
        <v>311</v>
      </c>
      <c r="AE5" s="58" t="s">
        <v>312</v>
      </c>
      <c r="AF5" s="58" t="s">
        <v>313</v>
      </c>
      <c r="AG5" s="58" t="s">
        <v>314</v>
      </c>
    </row>
    <row r="6" customFormat="false" ht="15" hidden="false" customHeight="true" outlineLevel="0" collapsed="false">
      <c r="D6" s="59" t="s">
        <v>315</v>
      </c>
      <c r="E6" s="59" t="s">
        <v>316</v>
      </c>
      <c r="F6" s="59" t="s">
        <v>317</v>
      </c>
      <c r="G6" s="59" t="s">
        <v>318</v>
      </c>
      <c r="H6" s="59" t="s">
        <v>319</v>
      </c>
      <c r="I6" s="59" t="s">
        <v>320</v>
      </c>
      <c r="J6" s="59" t="s">
        <v>321</v>
      </c>
      <c r="K6" s="59" t="s">
        <v>322</v>
      </c>
      <c r="L6" s="59" t="s">
        <v>323</v>
      </c>
      <c r="M6" s="59" t="s">
        <v>324</v>
      </c>
      <c r="N6" s="59" t="s">
        <v>325</v>
      </c>
      <c r="O6" s="59" t="s">
        <v>326</v>
      </c>
      <c r="P6" s="59" t="s">
        <v>327</v>
      </c>
      <c r="Q6" s="59" t="s">
        <v>328</v>
      </c>
      <c r="R6" s="59" t="s">
        <v>329</v>
      </c>
      <c r="S6" s="59" t="s">
        <v>330</v>
      </c>
      <c r="T6" s="59" t="s">
        <v>331</v>
      </c>
      <c r="U6" s="59" t="s">
        <v>332</v>
      </c>
      <c r="V6" s="59" t="s">
        <v>333</v>
      </c>
      <c r="W6" s="59" t="s">
        <v>334</v>
      </c>
      <c r="X6" s="59" t="s">
        <v>335</v>
      </c>
      <c r="Y6" s="59" t="s">
        <v>336</v>
      </c>
      <c r="Z6" s="59" t="s">
        <v>337</v>
      </c>
      <c r="AA6" s="59" t="s">
        <v>338</v>
      </c>
      <c r="AB6" s="59" t="s">
        <v>339</v>
      </c>
      <c r="AC6" s="59" t="s">
        <v>340</v>
      </c>
      <c r="AD6" s="59" t="s">
        <v>341</v>
      </c>
      <c r="AE6" s="59" t="s">
        <v>342</v>
      </c>
      <c r="AF6" s="59" t="s">
        <v>343</v>
      </c>
      <c r="AG6" s="59" t="s">
        <v>344</v>
      </c>
    </row>
    <row r="7" customFormat="false" ht="15" hidden="false" customHeight="true" outlineLevel="0" collapsed="false">
      <c r="B7" s="36" t="s">
        <v>345</v>
      </c>
      <c r="D7" s="60" t="n">
        <v>1</v>
      </c>
      <c r="E7" s="60" t="n">
        <v>2</v>
      </c>
      <c r="F7" s="60" t="n">
        <v>3</v>
      </c>
      <c r="G7" s="60" t="n">
        <v>4</v>
      </c>
      <c r="H7" s="60" t="n">
        <v>5</v>
      </c>
      <c r="I7" s="60" t="n">
        <v>6</v>
      </c>
      <c r="J7" s="60" t="n">
        <v>7</v>
      </c>
      <c r="K7" s="60" t="n">
        <v>8</v>
      </c>
      <c r="L7" s="60" t="n">
        <v>9</v>
      </c>
      <c r="M7" s="60" t="n">
        <v>10</v>
      </c>
      <c r="N7" s="60" t="n">
        <v>11</v>
      </c>
      <c r="O7" s="60" t="n">
        <v>12</v>
      </c>
      <c r="P7" s="60" t="n">
        <v>13</v>
      </c>
      <c r="Q7" s="60" t="n">
        <v>14</v>
      </c>
      <c r="R7" s="60" t="n">
        <v>15</v>
      </c>
      <c r="S7" s="60" t="n">
        <v>16</v>
      </c>
      <c r="T7" s="60" t="n">
        <v>17</v>
      </c>
      <c r="U7" s="60" t="n">
        <v>18</v>
      </c>
      <c r="V7" s="60" t="n">
        <v>19</v>
      </c>
      <c r="W7" s="60" t="n">
        <v>20</v>
      </c>
      <c r="X7" s="60" t="n">
        <v>21</v>
      </c>
      <c r="Y7" s="60" t="n">
        <v>22</v>
      </c>
      <c r="Z7" s="60" t="n">
        <v>23</v>
      </c>
      <c r="AA7" s="60" t="n">
        <v>24</v>
      </c>
      <c r="AB7" s="60" t="n">
        <v>25</v>
      </c>
      <c r="AC7" s="60" t="n">
        <v>26</v>
      </c>
      <c r="AD7" s="60" t="n">
        <v>27</v>
      </c>
      <c r="AE7" s="60" t="n">
        <v>28</v>
      </c>
      <c r="AF7" s="60" t="n">
        <v>29</v>
      </c>
      <c r="AG7" s="60" t="n">
        <v>30</v>
      </c>
    </row>
    <row r="9" customFormat="false" ht="21.75" hidden="false" customHeight="true" outlineLevel="0" collapsed="false">
      <c r="B9" s="61" t="s">
        <v>346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  <row r="10" customFormat="false" ht="15" hidden="false" customHeight="true" outlineLevel="0" collapsed="false">
      <c r="B10" s="62" t="s">
        <v>347</v>
      </c>
      <c r="C10" s="63" t="s">
        <v>348</v>
      </c>
      <c r="D10" s="64" t="n">
        <f aca="false">('02_Assumptions'!$D$9*IF(D$7&gt;=1,1,0)*8760*'02_Assumptions'!$D$11*(1-'02_Assumptions'!$D$59)^MAX(0,D$7-1)+'02_Assumptions'!$E$9*IF(D$7&gt;=3,1,0)*8760*'02_Assumptions'!$D$11*(1-'02_Assumptions'!$D$59)^MAX(0,D$7-3))*'02_Assumptions'!$D$81/1000</f>
        <v>2186.496</v>
      </c>
      <c r="E10" s="64" t="n">
        <f aca="false">('02_Assumptions'!$D$9*IF(E$7&gt;=1,1,0)*8760*'02_Assumptions'!$D$11*(1-'02_Assumptions'!$D$59)^MAX(0,E$7-1)+'02_Assumptions'!$E$9*IF(E$7&gt;=3,1,0)*8760*'02_Assumptions'!$D$11*(1-'02_Assumptions'!$D$59)^MAX(0,E$7-3))*'02_Assumptions'!$D$81/1000</f>
        <v>2175.56352</v>
      </c>
      <c r="F10" s="64" t="n">
        <f aca="false">('02_Assumptions'!$D$9*IF(F$7&gt;=1,1,0)*8760*'02_Assumptions'!$D$11*(1-'02_Assumptions'!$D$59)^MAX(0,F$7-1)+'02_Assumptions'!$E$9*IF(F$7&gt;=3,1,0)*8760*'02_Assumptions'!$D$11*(1-'02_Assumptions'!$D$59)^MAX(0,F$7-3))*'02_Assumptions'!$D$81/1000</f>
        <v>5444.4297024</v>
      </c>
      <c r="G10" s="64" t="n">
        <f aca="false">('02_Assumptions'!$D$9*IF(G$7&gt;=1,1,0)*8760*'02_Assumptions'!$D$11*(1-'02_Assumptions'!$D$59)^MAX(0,G$7-1)+'02_Assumptions'!$E$9*IF(G$7&gt;=3,1,0)*8760*'02_Assumptions'!$D$11*(1-'02_Assumptions'!$D$59)^MAX(0,G$7-3))*'02_Assumptions'!$D$81/1000</f>
        <v>5417.207553888</v>
      </c>
      <c r="H10" s="64" t="n">
        <f aca="false">('02_Assumptions'!$D$9*IF(H$7&gt;=1,1,0)*8760*'02_Assumptions'!$D$11*(1-'02_Assumptions'!$D$59)^MAX(0,H$7-1)+'02_Assumptions'!$E$9*IF(H$7&gt;=3,1,0)*8760*'02_Assumptions'!$D$11*(1-'02_Assumptions'!$D$59)^MAX(0,H$7-3))*'02_Assumptions'!$D$81/1000</f>
        <v>5390.12151611856</v>
      </c>
      <c r="I10" s="64" t="n">
        <f aca="false">('02_Assumptions'!$D$9*IF(I$7&gt;=1,1,0)*8760*'02_Assumptions'!$D$11*(1-'02_Assumptions'!$D$59)^MAX(0,I$7-1)+'02_Assumptions'!$E$9*IF(I$7&gt;=3,1,0)*8760*'02_Assumptions'!$D$11*(1-'02_Assumptions'!$D$59)^MAX(0,I$7-3))*'02_Assumptions'!$D$81/1000</f>
        <v>5363.17090853797</v>
      </c>
      <c r="J10" s="64" t="n">
        <f aca="false">('02_Assumptions'!$D$9*IF(J$7&gt;=1,1,0)*8760*'02_Assumptions'!$D$11*(1-'02_Assumptions'!$D$59)^MAX(0,J$7-1)+'02_Assumptions'!$E$9*IF(J$7&gt;=3,1,0)*8760*'02_Assumptions'!$D$11*(1-'02_Assumptions'!$D$59)^MAX(0,J$7-3))*'02_Assumptions'!$D$81/1000</f>
        <v>5336.35505399528</v>
      </c>
      <c r="K10" s="64" t="n">
        <f aca="false">('02_Assumptions'!$D$9*IF(K$7&gt;=1,1,0)*8760*'02_Assumptions'!$D$11*(1-'02_Assumptions'!$D$59)^MAX(0,K$7-1)+'02_Assumptions'!$E$9*IF(K$7&gt;=3,1,0)*8760*'02_Assumptions'!$D$11*(1-'02_Assumptions'!$D$59)^MAX(0,K$7-3))*'02_Assumptions'!$D$81/1000</f>
        <v>5309.6732787253</v>
      </c>
      <c r="L10" s="64" t="n">
        <f aca="false">('02_Assumptions'!$D$9*IF(L$7&gt;=1,1,0)*8760*'02_Assumptions'!$D$11*(1-'02_Assumptions'!$D$59)^MAX(0,L$7-1)+'02_Assumptions'!$E$9*IF(L$7&gt;=3,1,0)*8760*'02_Assumptions'!$D$11*(1-'02_Assumptions'!$D$59)^MAX(0,L$7-3))*'02_Assumptions'!$D$81/1000</f>
        <v>5283.12491233167</v>
      </c>
      <c r="M10" s="64" t="n">
        <f aca="false">('02_Assumptions'!$D$9*IF(M$7&gt;=1,1,0)*8760*'02_Assumptions'!$D$11*(1-'02_Assumptions'!$D$59)^MAX(0,M$7-1)+'02_Assumptions'!$E$9*IF(M$7&gt;=3,1,0)*8760*'02_Assumptions'!$D$11*(1-'02_Assumptions'!$D$59)^MAX(0,M$7-3))*'02_Assumptions'!$D$81/1000</f>
        <v>5256.70928777002</v>
      </c>
      <c r="N10" s="64" t="n">
        <f aca="false">('02_Assumptions'!$D$9*IF(N$7&gt;=1,1,0)*8760*'02_Assumptions'!$D$11*(1-'02_Assumptions'!$D$59)^MAX(0,N$7-1)+'02_Assumptions'!$E$9*IF(N$7&gt;=3,1,0)*8760*'02_Assumptions'!$D$11*(1-'02_Assumptions'!$D$59)^MAX(0,N$7-3))*'02_Assumptions'!$D$81/1000</f>
        <v>5230.42574133117</v>
      </c>
      <c r="O10" s="64" t="n">
        <f aca="false">('02_Assumptions'!$D$9*IF(O$7&gt;=1,1,0)*8760*'02_Assumptions'!$D$11*(1-'02_Assumptions'!$D$59)^MAX(0,O$7-1)+'02_Assumptions'!$E$9*IF(O$7&gt;=3,1,0)*8760*'02_Assumptions'!$D$11*(1-'02_Assumptions'!$D$59)^MAX(0,O$7-3))*'02_Assumptions'!$D$81/1000</f>
        <v>5204.27361262451</v>
      </c>
      <c r="P10" s="64" t="n">
        <f aca="false">('02_Assumptions'!$D$9*IF(P$7&gt;=1,1,0)*8760*'02_Assumptions'!$D$11*(1-'02_Assumptions'!$D$59)^MAX(0,P$7-1)+'02_Assumptions'!$E$9*IF(P$7&gt;=3,1,0)*8760*'02_Assumptions'!$D$11*(1-'02_Assumptions'!$D$59)^MAX(0,P$7-3))*'02_Assumptions'!$D$81/1000</f>
        <v>5178.25224456139</v>
      </c>
      <c r="Q10" s="64" t="n">
        <f aca="false">('02_Assumptions'!$D$9*IF(Q$7&gt;=1,1,0)*8760*'02_Assumptions'!$D$11*(1-'02_Assumptions'!$D$59)^MAX(0,Q$7-1)+'02_Assumptions'!$E$9*IF(Q$7&gt;=3,1,0)*8760*'02_Assumptions'!$D$11*(1-'02_Assumptions'!$D$59)^MAX(0,Q$7-3))*'02_Assumptions'!$D$81/1000</f>
        <v>5152.36098333858</v>
      </c>
      <c r="R10" s="64" t="n">
        <f aca="false">('02_Assumptions'!$D$9*IF(R$7&gt;=1,1,0)*8760*'02_Assumptions'!$D$11*(1-'02_Assumptions'!$D$59)^MAX(0,R$7-1)+'02_Assumptions'!$E$9*IF(R$7&gt;=3,1,0)*8760*'02_Assumptions'!$D$11*(1-'02_Assumptions'!$D$59)^MAX(0,R$7-3))*'02_Assumptions'!$D$81/1000</f>
        <v>5126.59917842189</v>
      </c>
      <c r="S10" s="64" t="n">
        <f aca="false">('02_Assumptions'!$D$9*IF(S$7&gt;=1,1,0)*8760*'02_Assumptions'!$D$11*(1-'02_Assumptions'!$D$59)^MAX(0,S$7-1)+'02_Assumptions'!$E$9*IF(S$7&gt;=3,1,0)*8760*'02_Assumptions'!$D$11*(1-'02_Assumptions'!$D$59)^MAX(0,S$7-3))*'02_Assumptions'!$D$81/1000</f>
        <v>5100.96618252978</v>
      </c>
      <c r="T10" s="64" t="n">
        <f aca="false">('02_Assumptions'!$D$9*IF(T$7&gt;=1,1,0)*8760*'02_Assumptions'!$D$11*(1-'02_Assumptions'!$D$59)^MAX(0,T$7-1)+'02_Assumptions'!$E$9*IF(T$7&gt;=3,1,0)*8760*'02_Assumptions'!$D$11*(1-'02_Assumptions'!$D$59)^MAX(0,T$7-3))*'02_Assumptions'!$D$81/1000</f>
        <v>5075.46135161713</v>
      </c>
      <c r="U10" s="64" t="n">
        <f aca="false">('02_Assumptions'!$D$9*IF(U$7&gt;=1,1,0)*8760*'02_Assumptions'!$D$11*(1-'02_Assumptions'!$D$59)^MAX(0,U$7-1)+'02_Assumptions'!$E$9*IF(U$7&gt;=3,1,0)*8760*'02_Assumptions'!$D$11*(1-'02_Assumptions'!$D$59)^MAX(0,U$7-3))*'02_Assumptions'!$D$81/1000</f>
        <v>5050.08404485904</v>
      </c>
      <c r="V10" s="64" t="n">
        <f aca="false">('02_Assumptions'!$D$9*IF(V$7&gt;=1,1,0)*8760*'02_Assumptions'!$D$11*(1-'02_Assumptions'!$D$59)^MAX(0,V$7-1)+'02_Assumptions'!$E$9*IF(V$7&gt;=3,1,0)*8760*'02_Assumptions'!$D$11*(1-'02_Assumptions'!$D$59)^MAX(0,V$7-3))*'02_Assumptions'!$D$81/1000</f>
        <v>5024.83362463475</v>
      </c>
      <c r="W10" s="64" t="n">
        <f aca="false">('02_Assumptions'!$D$9*IF(W$7&gt;=1,1,0)*8760*'02_Assumptions'!$D$11*(1-'02_Assumptions'!$D$59)^MAX(0,W$7-1)+'02_Assumptions'!$E$9*IF(W$7&gt;=3,1,0)*8760*'02_Assumptions'!$D$11*(1-'02_Assumptions'!$D$59)^MAX(0,W$7-3))*'02_Assumptions'!$D$81/1000</f>
        <v>4999.70945651157</v>
      </c>
      <c r="X10" s="64" t="n">
        <f aca="false">('02_Assumptions'!$D$9*IF(X$7&gt;=1,1,0)*8760*'02_Assumptions'!$D$11*(1-'02_Assumptions'!$D$59)^MAX(0,X$7-1)+'02_Assumptions'!$E$9*IF(X$7&gt;=3,1,0)*8760*'02_Assumptions'!$D$11*(1-'02_Assumptions'!$D$59)^MAX(0,X$7-3))*'02_Assumptions'!$D$81/1000</f>
        <v>4974.71090922902</v>
      </c>
      <c r="Y10" s="64" t="n">
        <f aca="false">('02_Assumptions'!$D$9*IF(Y$7&gt;=1,1,0)*8760*'02_Assumptions'!$D$11*(1-'02_Assumptions'!$D$59)^MAX(0,Y$7-1)+'02_Assumptions'!$E$9*IF(Y$7&gt;=3,1,0)*8760*'02_Assumptions'!$D$11*(1-'02_Assumptions'!$D$59)^MAX(0,Y$7-3))*'02_Assumptions'!$D$81/1000</f>
        <v>4949.83735468287</v>
      </c>
      <c r="Z10" s="64" t="n">
        <f aca="false">('02_Assumptions'!$D$9*IF(Z$7&gt;=1,1,0)*8760*'02_Assumptions'!$D$11*(1-'02_Assumptions'!$D$59)^MAX(0,Z$7-1)+'02_Assumptions'!$E$9*IF(Z$7&gt;=3,1,0)*8760*'02_Assumptions'!$D$11*(1-'02_Assumptions'!$D$59)^MAX(0,Z$7-3))*'02_Assumptions'!$D$81/1000</f>
        <v>4925.08816790946</v>
      </c>
      <c r="AA10" s="64" t="n">
        <f aca="false">('02_Assumptions'!$D$9*IF(AA$7&gt;=1,1,0)*8760*'02_Assumptions'!$D$11*(1-'02_Assumptions'!$D$59)^MAX(0,AA$7-1)+'02_Assumptions'!$E$9*IF(AA$7&gt;=3,1,0)*8760*'02_Assumptions'!$D$11*(1-'02_Assumptions'!$D$59)^MAX(0,AA$7-3))*'02_Assumptions'!$D$81/1000</f>
        <v>4900.46272706991</v>
      </c>
      <c r="AB10" s="64" t="n">
        <f aca="false">('02_Assumptions'!$D$9*IF(AB$7&gt;=1,1,0)*8760*'02_Assumptions'!$D$11*(1-'02_Assumptions'!$D$59)^MAX(0,AB$7-1)+'02_Assumptions'!$E$9*IF(AB$7&gt;=3,1,0)*8760*'02_Assumptions'!$D$11*(1-'02_Assumptions'!$D$59)^MAX(0,AB$7-3))*'02_Assumptions'!$D$81/1000</f>
        <v>4875.96041343456</v>
      </c>
      <c r="AC10" s="64" t="n">
        <f aca="false">('02_Assumptions'!$D$9*IF(AC$7&gt;=1,1,0)*8760*'02_Assumptions'!$D$11*(1-'02_Assumptions'!$D$59)^MAX(0,AC$7-1)+'02_Assumptions'!$E$9*IF(AC$7&gt;=3,1,0)*8760*'02_Assumptions'!$D$11*(1-'02_Assumptions'!$D$59)^MAX(0,AC$7-3))*'02_Assumptions'!$D$81/1000</f>
        <v>4851.58061136739</v>
      </c>
      <c r="AD10" s="64" t="n">
        <f aca="false">('02_Assumptions'!$D$9*IF(AD$7&gt;=1,1,0)*8760*'02_Assumptions'!$D$11*(1-'02_Assumptions'!$D$59)^MAX(0,AD$7-1)+'02_Assumptions'!$E$9*IF(AD$7&gt;=3,1,0)*8760*'02_Assumptions'!$D$11*(1-'02_Assumptions'!$D$59)^MAX(0,AD$7-3))*'02_Assumptions'!$D$81/1000</f>
        <v>4827.32270831055</v>
      </c>
      <c r="AE10" s="64" t="n">
        <f aca="false">('02_Assumptions'!$D$9*IF(AE$7&gt;=1,1,0)*8760*'02_Assumptions'!$D$11*(1-'02_Assumptions'!$D$59)^MAX(0,AE$7-1)+'02_Assumptions'!$E$9*IF(AE$7&gt;=3,1,0)*8760*'02_Assumptions'!$D$11*(1-'02_Assumptions'!$D$59)^MAX(0,AE$7-3))*'02_Assumptions'!$D$81/1000</f>
        <v>4803.186094769</v>
      </c>
      <c r="AF10" s="64" t="n">
        <f aca="false">('02_Assumptions'!$D$9*IF(AF$7&gt;=1,1,0)*8760*'02_Assumptions'!$D$11*(1-'02_Assumptions'!$D$59)^MAX(0,AF$7-1)+'02_Assumptions'!$E$9*IF(AF$7&gt;=3,1,0)*8760*'02_Assumptions'!$D$11*(1-'02_Assumptions'!$D$59)^MAX(0,AF$7-3))*'02_Assumptions'!$D$81/1000</f>
        <v>4779.17016429515</v>
      </c>
      <c r="AG10" s="64" t="n">
        <f aca="false">('02_Assumptions'!$D$9*IF(AG$7&gt;=1,1,0)*8760*'02_Assumptions'!$D$11*(1-'02_Assumptions'!$D$59)^MAX(0,AG$7-1)+'02_Assumptions'!$E$9*IF(AG$7&gt;=3,1,0)*8760*'02_Assumptions'!$D$11*(1-'02_Assumptions'!$D$59)^MAX(0,AG$7-3))*'02_Assumptions'!$D$81/1000</f>
        <v>4755.27431347368</v>
      </c>
    </row>
    <row r="12" customFormat="false" ht="21.75" hidden="false" customHeight="true" outlineLevel="0" collapsed="false">
      <c r="B12" s="61" t="s">
        <v>349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</row>
    <row r="13" customFormat="false" ht="15" hidden="false" customHeight="true" outlineLevel="0" collapsed="false">
      <c r="B13" s="65" t="s">
        <v>350</v>
      </c>
      <c r="C13" s="63" t="s">
        <v>351</v>
      </c>
      <c r="D13" s="66" t="n">
        <f aca="false">(D10*IF(D$7&lt;=2,1,0.15)*'02_Assumptions'!$D$31*POWER(1+'02_Assumptions'!$E$31,D$7-1)*'02_Assumptions'!$D$82)/1000</f>
        <v>83.086848</v>
      </c>
      <c r="E13" s="66" t="n">
        <f aca="false">(E10*IF(E$7&lt;=2,1,0.15)*'02_Assumptions'!$D$31*POWER(1+'02_Assumptions'!$E$31,E$7-1)*'02_Assumptions'!$D$82)/1000</f>
        <v>84.3248420352</v>
      </c>
      <c r="F13" s="66" t="n">
        <f aca="false">(F10*IF(F$7&lt;=2,1,0.15)*'02_Assumptions'!$D$31*POWER(1+'02_Assumptions'!$E$31,F$7-1)*'02_Assumptions'!$D$82)/1000</f>
        <v>32.2869925755487</v>
      </c>
      <c r="G13" s="66" t="n">
        <f aca="false">(G10*IF(G$7&lt;=2,1,0.15)*'02_Assumptions'!$D$31*POWER(1+'02_Assumptions'!$E$31,G$7-1)*'02_Assumptions'!$D$82)/1000</f>
        <v>32.7680687649244</v>
      </c>
      <c r="H13" s="66" t="n">
        <f aca="false">(H10*IF(H$7&lt;=2,1,0.15)*'02_Assumptions'!$D$31*POWER(1+'02_Assumptions'!$E$31,H$7-1)*'02_Assumptions'!$D$82)/1000</f>
        <v>33.2563129895217</v>
      </c>
      <c r="I13" s="66" t="n">
        <f aca="false">(I10*IF(I$7&lt;=2,1,0.15)*'02_Assumptions'!$D$31*POWER(1+'02_Assumptions'!$E$31,I$7-1)*'02_Assumptions'!$D$82)/1000</f>
        <v>33.7518320530656</v>
      </c>
      <c r="J13" s="66" t="n">
        <f aca="false">(J10*IF(J$7&lt;=2,1,0.15)*'02_Assumptions'!$D$31*POWER(1+'02_Assumptions'!$E$31,J$7-1)*'02_Assumptions'!$D$82)/1000</f>
        <v>34.2547343506563</v>
      </c>
      <c r="K13" s="66" t="n">
        <f aca="false">(K10*IF(K$7&lt;=2,1,0.15)*'02_Assumptions'!$D$31*POWER(1+'02_Assumptions'!$E$31,K$7-1)*'02_Assumptions'!$D$82)/1000</f>
        <v>34.7651298924811</v>
      </c>
      <c r="L13" s="66" t="n">
        <f aca="false">(L10*IF(L$7&lt;=2,1,0.15)*'02_Assumptions'!$D$31*POWER(1+'02_Assumptions'!$E$31,L$7-1)*'02_Assumptions'!$D$82)/1000</f>
        <v>35.283130327879</v>
      </c>
      <c r="M13" s="66" t="n">
        <f aca="false">(M10*IF(M$7&lt;=2,1,0.15)*'02_Assumptions'!$D$31*POWER(1+'02_Assumptions'!$E$31,M$7-1)*'02_Assumptions'!$D$82)/1000</f>
        <v>35.8088489697644</v>
      </c>
      <c r="N13" s="66" t="n">
        <f aca="false">(N10*IF(N$7&lt;=2,1,0.15)*'02_Assumptions'!$D$31*POWER(1+'02_Assumptions'!$E$31,N$7-1)*'02_Assumptions'!$D$82)/1000</f>
        <v>36.3424008194139</v>
      </c>
      <c r="O13" s="66" t="n">
        <f aca="false">(O10*IF(O$7&lt;=2,1,0.15)*'02_Assumptions'!$D$31*POWER(1+'02_Assumptions'!$E$31,O$7-1)*'02_Assumptions'!$D$82)/1000</f>
        <v>36.8839025916232</v>
      </c>
      <c r="P13" s="66" t="n">
        <f aca="false">(P10*IF(P$7&lt;=2,1,0.15)*'02_Assumptions'!$D$31*POWER(1+'02_Assumptions'!$E$31,P$7-1)*'02_Assumptions'!$D$82)/1000</f>
        <v>37.4334727402384</v>
      </c>
      <c r="Q13" s="66" t="n">
        <f aca="false">(Q10*IF(Q$7&lt;=2,1,0.15)*'02_Assumptions'!$D$31*POWER(1+'02_Assumptions'!$E$31,Q$7-1)*'02_Assumptions'!$D$82)/1000</f>
        <v>37.9912314840679</v>
      </c>
      <c r="R13" s="66" t="n">
        <f aca="false">(R10*IF(R$7&lt;=2,1,0.15)*'02_Assumptions'!$D$31*POWER(1+'02_Assumptions'!$E$31,R$7-1)*'02_Assumptions'!$D$82)/1000</f>
        <v>38.5573008331805</v>
      </c>
      <c r="S13" s="66" t="n">
        <f aca="false">(S10*IF(S$7&lt;=2,1,0.15)*'02_Assumptions'!$D$31*POWER(1+'02_Assumptions'!$E$31,S$7-1)*'02_Assumptions'!$D$82)/1000</f>
        <v>39.1318046155949</v>
      </c>
      <c r="T13" s="66" t="n">
        <f aca="false">(T10*IF(T$7&lt;=2,1,0.15)*'02_Assumptions'!$D$31*POWER(1+'02_Assumptions'!$E$31,T$7-1)*'02_Assumptions'!$D$82)/1000</f>
        <v>39.7148685043673</v>
      </c>
      <c r="U13" s="66" t="n">
        <f aca="false">(U10*IF(U$7&lt;=2,1,0.15)*'02_Assumptions'!$D$31*POWER(1+'02_Assumptions'!$E$31,U$7-1)*'02_Assumptions'!$D$82)/1000</f>
        <v>40.3066200450824</v>
      </c>
      <c r="V13" s="66" t="n">
        <f aca="false">(V10*IF(V$7&lt;=2,1,0.15)*'02_Assumptions'!$D$31*POWER(1+'02_Assumptions'!$E$31,V$7-1)*'02_Assumptions'!$D$82)/1000</f>
        <v>40.9071886837541</v>
      </c>
      <c r="W13" s="66" t="n">
        <f aca="false">(W10*IF(W$7&lt;=2,1,0.15)*'02_Assumptions'!$D$31*POWER(1+'02_Assumptions'!$E$31,W$7-1)*'02_Assumptions'!$D$82)/1000</f>
        <v>41.516705795142</v>
      </c>
      <c r="X13" s="66" t="n">
        <f aca="false">(X10*IF(X$7&lt;=2,1,0.15)*'02_Assumptions'!$D$31*POWER(1+'02_Assumptions'!$E$31,X$7-1)*'02_Assumptions'!$D$82)/1000</f>
        <v>42.1353047114896</v>
      </c>
      <c r="Y13" s="66" t="n">
        <f aca="false">(Y10*IF(Y$7&lt;=2,1,0.15)*'02_Assumptions'!$D$31*POWER(1+'02_Assumptions'!$E$31,Y$7-1)*'02_Assumptions'!$D$82)/1000</f>
        <v>42.7631207516908</v>
      </c>
      <c r="Z13" s="66" t="n">
        <f aca="false">(Z10*IF(Z$7&lt;=2,1,0.15)*'02_Assumptions'!$D$31*POWER(1+'02_Assumptions'!$E$31,Z$7-1)*'02_Assumptions'!$D$82)/1000</f>
        <v>43.400291250891</v>
      </c>
      <c r="AA13" s="66" t="n">
        <f aca="false">(AA10*IF(AA$7&lt;=2,1,0.15)*'02_Assumptions'!$D$31*POWER(1+'02_Assumptions'!$E$31,AA$7-1)*'02_Assumptions'!$D$82)/1000</f>
        <v>44.0469555905293</v>
      </c>
      <c r="AB13" s="66" t="n">
        <f aca="false">(AB10*IF(AB$7&lt;=2,1,0.15)*'02_Assumptions'!$D$31*POWER(1+'02_Assumptions'!$E$31,AB$7-1)*'02_Assumptions'!$D$82)/1000</f>
        <v>44.7032552288282</v>
      </c>
      <c r="AC13" s="66" t="n">
        <f aca="false">(AC10*IF(AC$7&lt;=2,1,0.15)*'02_Assumptions'!$D$31*POWER(1+'02_Assumptions'!$E$31,AC$7-1)*'02_Assumptions'!$D$82)/1000</f>
        <v>45.3693337317377</v>
      </c>
      <c r="AD13" s="66" t="n">
        <f aca="false">(AD10*IF(AD$7&lt;=2,1,0.15)*'02_Assumptions'!$D$31*POWER(1+'02_Assumptions'!$E$31,AD$7-1)*'02_Assumptions'!$D$82)/1000</f>
        <v>46.0453368043406</v>
      </c>
      <c r="AE13" s="66" t="n">
        <f aca="false">(AE10*IF(AE$7&lt;=2,1,0.15)*'02_Assumptions'!$D$31*POWER(1+'02_Assumptions'!$E$31,AE$7-1)*'02_Assumptions'!$D$82)/1000</f>
        <v>46.7314123227253</v>
      </c>
      <c r="AF13" s="66" t="n">
        <f aca="false">(AF10*IF(AF$7&lt;=2,1,0.15)*'02_Assumptions'!$D$31*POWER(1+'02_Assumptions'!$E$31,AF$7-1)*'02_Assumptions'!$D$82)/1000</f>
        <v>47.4277103663339</v>
      </c>
      <c r="AG13" s="66" t="n">
        <f aca="false">(AG10*IF(AG$7&lt;=2,1,0.15)*'02_Assumptions'!$D$31*POWER(1+'02_Assumptions'!$E$31,AG$7-1)*'02_Assumptions'!$D$82)/1000</f>
        <v>48.1343832507923</v>
      </c>
    </row>
    <row r="14" customFormat="false" ht="15" hidden="false" customHeight="true" outlineLevel="0" collapsed="false">
      <c r="B14" s="65" t="s">
        <v>352</v>
      </c>
      <c r="C14" s="63" t="s">
        <v>351</v>
      </c>
      <c r="D14" s="66" t="n">
        <f aca="false">(D10*IF(D$7&lt;=2,0,0.85)*'02_Assumptions'!$D$32*POWER(1+'02_Assumptions'!$E$32,D$7-3)*'02_Assumptions'!$D$82)/1000</f>
        <v>0</v>
      </c>
      <c r="E14" s="66" t="n">
        <f aca="false">(E10*IF(E$7&lt;=2,0,0.85)*'02_Assumptions'!$D$32*POWER(1+'02_Assumptions'!$E$32,E$7-3)*'02_Assumptions'!$D$82)/1000</f>
        <v>0</v>
      </c>
      <c r="F14" s="66" t="n">
        <f aca="false">(F10*IF(F$7&lt;=2,0,0.85)*'02_Assumptions'!$D$32*POWER(1+'02_Assumptions'!$E$32,F$7-3)*'02_Assumptions'!$D$82)/1000</f>
        <v>333.19909778688</v>
      </c>
      <c r="G14" s="66" t="n">
        <f aca="false">(G10*IF(G$7&lt;=2,0,0.85)*'02_Assumptions'!$D$32*POWER(1+'02_Assumptions'!$E$32,G$7-3)*'02_Assumptions'!$D$82)/1000</f>
        <v>339.821429855394</v>
      </c>
      <c r="H14" s="66" t="n">
        <f aca="false">(H10*IF(H$7&lt;=2,0,0.85)*'02_Assumptions'!$D$32*POWER(1+'02_Assumptions'!$E$32,H$7-3)*'02_Assumptions'!$D$82)/1000</f>
        <v>346.57538077377</v>
      </c>
      <c r="I14" s="66" t="n">
        <f aca="false">(I10*IF(I$7&lt;=2,0,0.85)*'02_Assumptions'!$D$32*POWER(1+'02_Assumptions'!$E$32,I$7-3)*'02_Assumptions'!$D$82)/1000</f>
        <v>353.463566466649</v>
      </c>
      <c r="J14" s="66" t="n">
        <f aca="false">(J10*IF(J$7&lt;=2,0,0.85)*'02_Assumptions'!$D$32*POWER(1+'02_Assumptions'!$E$32,J$7-3)*'02_Assumptions'!$D$82)/1000</f>
        <v>360.488654850173</v>
      </c>
      <c r="K14" s="66" t="n">
        <f aca="false">(K10*IF(K$7&lt;=2,0,0.85)*'02_Assumptions'!$D$32*POWER(1+'02_Assumptions'!$E$32,K$7-3)*'02_Assumptions'!$D$82)/1000</f>
        <v>367.653366865321</v>
      </c>
      <c r="L14" s="66" t="n">
        <f aca="false">(L10*IF(L$7&lt;=2,0,0.85)*'02_Assumptions'!$D$32*POWER(1+'02_Assumptions'!$E$32,L$7-3)*'02_Assumptions'!$D$82)/1000</f>
        <v>374.960477531769</v>
      </c>
      <c r="M14" s="66" t="n">
        <f aca="false">(M10*IF(M$7&lt;=2,0,0.85)*'02_Assumptions'!$D$32*POWER(1+'02_Assumptions'!$E$32,M$7-3)*'02_Assumptions'!$D$82)/1000</f>
        <v>382.412817022713</v>
      </c>
      <c r="N14" s="66" t="n">
        <f aca="false">(N10*IF(N$7&lt;=2,0,0.85)*'02_Assumptions'!$D$32*POWER(1+'02_Assumptions'!$E$32,N$7-3)*'02_Assumptions'!$D$82)/1000</f>
        <v>390.013271761039</v>
      </c>
      <c r="O14" s="66" t="n">
        <f aca="false">(O10*IF(O$7&lt;=2,0,0.85)*'02_Assumptions'!$D$32*POWER(1+'02_Assumptions'!$E$32,O$7-3)*'02_Assumptions'!$D$82)/1000</f>
        <v>397.76478553729</v>
      </c>
      <c r="P14" s="66" t="n">
        <f aca="false">(P10*IF(P$7&lt;=2,0,0.85)*'02_Assumptions'!$D$32*POWER(1+'02_Assumptions'!$E$32,P$7-3)*'02_Assumptions'!$D$82)/1000</f>
        <v>405.670360649843</v>
      </c>
      <c r="Q14" s="66" t="n">
        <f aca="false">(Q10*IF(Q$7&lt;=2,0,0.85)*'02_Assumptions'!$D$32*POWER(1+'02_Assumptions'!$E$32,Q$7-3)*'02_Assumptions'!$D$82)/1000</f>
        <v>413.733059067759</v>
      </c>
      <c r="R14" s="66" t="n">
        <f aca="false">(R10*IF(R$7&lt;=2,0,0.85)*'02_Assumptions'!$D$32*POWER(1+'02_Assumptions'!$E$32,R$7-3)*'02_Assumptions'!$D$82)/1000</f>
        <v>421.956003616731</v>
      </c>
      <c r="S14" s="66" t="n">
        <f aca="false">(S10*IF(S$7&lt;=2,0,0.85)*'02_Assumptions'!$D$32*POWER(1+'02_Assumptions'!$E$32,S$7-3)*'02_Assumptions'!$D$82)/1000</f>
        <v>430.342379188613</v>
      </c>
      <c r="T14" s="66" t="n">
        <f aca="false">(T10*IF(T$7&lt;=2,0,0.85)*'02_Assumptions'!$D$32*POWER(1+'02_Assumptions'!$E$32,T$7-3)*'02_Assumptions'!$D$82)/1000</f>
        <v>438.895433974987</v>
      </c>
      <c r="U14" s="66" t="n">
        <f aca="false">(U10*IF(U$7&lt;=2,0,0.85)*'02_Assumptions'!$D$32*POWER(1+'02_Assumptions'!$E$32,U$7-3)*'02_Assumptions'!$D$82)/1000</f>
        <v>447.618480725239</v>
      </c>
      <c r="V14" s="66" t="n">
        <f aca="false">(V10*IF(V$7&lt;=2,0,0.85)*'02_Assumptions'!$D$32*POWER(1+'02_Assumptions'!$E$32,V$7-3)*'02_Assumptions'!$D$82)/1000</f>
        <v>456.514898029653</v>
      </c>
      <c r="W14" s="66" t="n">
        <f aca="false">(W10*IF(W$7&lt;=2,0,0.85)*'02_Assumptions'!$D$32*POWER(1+'02_Assumptions'!$E$32,W$7-3)*'02_Assumptions'!$D$82)/1000</f>
        <v>465.588131627993</v>
      </c>
      <c r="X14" s="66" t="n">
        <f aca="false">(X10*IF(X$7&lt;=2,0,0.85)*'02_Assumptions'!$D$32*POWER(1+'02_Assumptions'!$E$32,X$7-3)*'02_Assumptions'!$D$82)/1000</f>
        <v>474.841695744099</v>
      </c>
      <c r="Y14" s="66" t="n">
        <f aca="false">(Y10*IF(Y$7&lt;=2,0,0.85)*'02_Assumptions'!$D$32*POWER(1+'02_Assumptions'!$E$32,Y$7-3)*'02_Assumptions'!$D$82)/1000</f>
        <v>484.279174447013</v>
      </c>
      <c r="Z14" s="66" t="n">
        <f aca="false">(Z10*IF(Z$7&lt;=2,0,0.85)*'02_Assumptions'!$D$32*POWER(1+'02_Assumptions'!$E$32,Z$7-3)*'02_Assumptions'!$D$82)/1000</f>
        <v>493.904223039147</v>
      </c>
      <c r="AA14" s="66" t="n">
        <f aca="false">(AA10*IF(AA$7&lt;=2,0,0.85)*'02_Assumptions'!$D$32*POWER(1+'02_Assumptions'!$E$32,AA$7-3)*'02_Assumptions'!$D$82)/1000</f>
        <v>503.72056947205</v>
      </c>
      <c r="AB14" s="66" t="n">
        <f aca="false">(AB10*IF(AB$7&lt;=2,0,0.85)*'02_Assumptions'!$D$32*POWER(1+'02_Assumptions'!$E$32,AB$7-3)*'02_Assumptions'!$D$82)/1000</f>
        <v>513.732015790307</v>
      </c>
      <c r="AC14" s="66" t="n">
        <f aca="false">(AC10*IF(AC$7&lt;=2,0,0.85)*'02_Assumptions'!$D$32*POWER(1+'02_Assumptions'!$E$32,AC$7-3)*'02_Assumptions'!$D$82)/1000</f>
        <v>523.94243960414</v>
      </c>
      <c r="AD14" s="66" t="n">
        <f aca="false">(AD10*IF(AD$7&lt;=2,0,0.85)*'02_Assumptions'!$D$32*POWER(1+'02_Assumptions'!$E$32,AD$7-3)*'02_Assumptions'!$D$82)/1000</f>
        <v>534.355795591272</v>
      </c>
      <c r="AE14" s="66" t="n">
        <f aca="false">(AE10*IF(AE$7&lt;=2,0,0.85)*'02_Assumptions'!$D$32*POWER(1+'02_Assumptions'!$E$32,AE$7-3)*'02_Assumptions'!$D$82)/1000</f>
        <v>544.976117028648</v>
      </c>
      <c r="AF14" s="66" t="n">
        <f aca="false">(AF10*IF(AF$7&lt;=2,0,0.85)*'02_Assumptions'!$D$32*POWER(1+'02_Assumptions'!$E$32,AF$7-3)*'02_Assumptions'!$D$82)/1000</f>
        <v>555.807517354593</v>
      </c>
      <c r="AG14" s="66" t="n">
        <f aca="false">(AG10*IF(AG$7&lt;=2,0,0.85)*'02_Assumptions'!$D$32*POWER(1+'02_Assumptions'!$E$32,AG$7-3)*'02_Assumptions'!$D$82)/1000</f>
        <v>566.854191762015</v>
      </c>
    </row>
    <row r="15" customFormat="false" ht="15" hidden="false" customHeight="true" outlineLevel="0" collapsed="false">
      <c r="B15" s="65" t="s">
        <v>353</v>
      </c>
      <c r="C15" s="67" t="s">
        <v>351</v>
      </c>
      <c r="D15" s="66" t="n">
        <f aca="false">(D10*'02_Assumptions'!$D$33*POWER(1+'02_Assumptions'!$E$33,D$7-1)*'02_Assumptions'!$D$82)/1000</f>
        <v>3.279744</v>
      </c>
      <c r="E15" s="66" t="n">
        <f aca="false">(E10*'02_Assumptions'!$D$33*POWER(1+'02_Assumptions'!$E$33,E$7-1)*'02_Assumptions'!$D$82)/1000</f>
        <v>3.3122954592</v>
      </c>
      <c r="F15" s="66" t="n">
        <f aca="false">(F10*'02_Assumptions'!$D$33*POWER(1+'02_Assumptions'!$E$33,F$7-1)*'02_Assumptions'!$D$82)/1000</f>
        <v>8.41348138523256</v>
      </c>
      <c r="G15" s="66" t="n">
        <f aca="false">(G10*'02_Assumptions'!$D$33*POWER(1+'02_Assumptions'!$E$33,G$7-1)*'02_Assumptions'!$D$82)/1000</f>
        <v>8.49698518798099</v>
      </c>
      <c r="H15" s="66" t="n">
        <f aca="false">(H10*'02_Assumptions'!$D$33*POWER(1+'02_Assumptions'!$E$33,H$7-1)*'02_Assumptions'!$D$82)/1000</f>
        <v>8.5813177659717</v>
      </c>
      <c r="I15" s="66" t="n">
        <f aca="false">(I10*'02_Assumptions'!$D$33*POWER(1+'02_Assumptions'!$E$33,I$7-1)*'02_Assumptions'!$D$82)/1000</f>
        <v>8.66648734479897</v>
      </c>
      <c r="J15" s="66" t="n">
        <f aca="false">(J10*'02_Assumptions'!$D$33*POWER(1+'02_Assumptions'!$E$33,J$7-1)*'02_Assumptions'!$D$82)/1000</f>
        <v>8.7525022316961</v>
      </c>
      <c r="K15" s="66" t="n">
        <f aca="false">(K10*'02_Assumptions'!$D$33*POWER(1+'02_Assumptions'!$E$33,K$7-1)*'02_Assumptions'!$D$82)/1000</f>
        <v>8.83937081634568</v>
      </c>
      <c r="L15" s="66" t="n">
        <f aca="false">(L10*'02_Assumptions'!$D$33*POWER(1+'02_Assumptions'!$E$33,L$7-1)*'02_Assumptions'!$D$82)/1000</f>
        <v>8.92710157169791</v>
      </c>
      <c r="M15" s="66" t="n">
        <f aca="false">(M10*'02_Assumptions'!$D$33*POWER(1+'02_Assumptions'!$E$33,M$7-1)*'02_Assumptions'!$D$82)/1000</f>
        <v>9.01570305479701</v>
      </c>
      <c r="N15" s="66" t="n">
        <f aca="false">(N10*'02_Assumptions'!$D$33*POWER(1+'02_Assumptions'!$E$33,N$7-1)*'02_Assumptions'!$D$82)/1000</f>
        <v>9.10518390761587</v>
      </c>
      <c r="O15" s="66" t="n">
        <f aca="false">(O10*'02_Assumptions'!$D$33*POWER(1+'02_Assumptions'!$E$33,O$7-1)*'02_Assumptions'!$D$82)/1000</f>
        <v>9.19555285789896</v>
      </c>
      <c r="P15" s="66" t="n">
        <f aca="false">(P10*'02_Assumptions'!$D$33*POWER(1+'02_Assumptions'!$E$33,P$7-1)*'02_Assumptions'!$D$82)/1000</f>
        <v>9.28681872001361</v>
      </c>
      <c r="Q15" s="66" t="n">
        <f aca="false">(Q10*'02_Assumptions'!$D$33*POWER(1+'02_Assumptions'!$E$33,Q$7-1)*'02_Assumptions'!$D$82)/1000</f>
        <v>9.37899039580974</v>
      </c>
      <c r="R15" s="66" t="n">
        <f aca="false">(R10*'02_Assumptions'!$D$33*POWER(1+'02_Assumptions'!$E$33,R$7-1)*'02_Assumptions'!$D$82)/1000</f>
        <v>9.47207687548815</v>
      </c>
      <c r="S15" s="66" t="n">
        <f aca="false">(S10*'02_Assumptions'!$D$33*POWER(1+'02_Assumptions'!$E$33,S$7-1)*'02_Assumptions'!$D$82)/1000</f>
        <v>9.56608723847737</v>
      </c>
      <c r="T15" s="66" t="n">
        <f aca="false">(T10*'02_Assumptions'!$D$33*POWER(1+'02_Assumptions'!$E$33,T$7-1)*'02_Assumptions'!$D$82)/1000</f>
        <v>9.66103065431926</v>
      </c>
      <c r="U15" s="66" t="n">
        <f aca="false">(U10*'02_Assumptions'!$D$33*POWER(1+'02_Assumptions'!$E$33,U$7-1)*'02_Assumptions'!$D$82)/1000</f>
        <v>9.75691638356337</v>
      </c>
      <c r="V15" s="66" t="n">
        <f aca="false">(V10*'02_Assumptions'!$D$33*POWER(1+'02_Assumptions'!$E$33,V$7-1)*'02_Assumptions'!$D$82)/1000</f>
        <v>9.85375377867024</v>
      </c>
      <c r="W15" s="66" t="n">
        <f aca="false">(W10*'02_Assumptions'!$D$33*POWER(1+'02_Assumptions'!$E$33,W$7-1)*'02_Assumptions'!$D$82)/1000</f>
        <v>9.95155228492354</v>
      </c>
      <c r="X15" s="66" t="n">
        <f aca="false">(X10*'02_Assumptions'!$D$33*POWER(1+'02_Assumptions'!$E$33,X$7-1)*'02_Assumptions'!$D$82)/1000</f>
        <v>10.0503214413514</v>
      </c>
      <c r="Y15" s="66" t="n">
        <f aca="false">(Y10*'02_Assumptions'!$D$33*POWER(1+'02_Assumptions'!$E$33,Y$7-1)*'02_Assumptions'!$D$82)/1000</f>
        <v>10.1500708816568</v>
      </c>
      <c r="Z15" s="66" t="n">
        <f aca="false">(Z10*'02_Assumptions'!$D$33*POWER(1+'02_Assumptions'!$E$33,Z$7-1)*'02_Assumptions'!$D$82)/1000</f>
        <v>10.2508103351573</v>
      </c>
      <c r="AA15" s="66" t="n">
        <f aca="false">(AA10*'02_Assumptions'!$D$33*POWER(1+'02_Assumptions'!$E$33,AA$7-1)*'02_Assumptions'!$D$82)/1000</f>
        <v>10.3525496277337</v>
      </c>
      <c r="AB15" s="66" t="n">
        <f aca="false">(AB10*'02_Assumptions'!$D$33*POWER(1+'02_Assumptions'!$E$33,AB$7-1)*'02_Assumptions'!$D$82)/1000</f>
        <v>10.455298682789</v>
      </c>
      <c r="AC15" s="66" t="n">
        <f aca="false">(AC10*'02_Assumptions'!$D$33*POWER(1+'02_Assumptions'!$E$33,AC$7-1)*'02_Assumptions'!$D$82)/1000</f>
        <v>10.5590675222156</v>
      </c>
      <c r="AD15" s="66" t="n">
        <f aca="false">(AD10*'02_Assumptions'!$D$33*POWER(1+'02_Assumptions'!$E$33,AD$7-1)*'02_Assumptions'!$D$82)/1000</f>
        <v>10.6638662673736</v>
      </c>
      <c r="AE15" s="66" t="n">
        <f aca="false">(AE10*'02_Assumptions'!$D$33*POWER(1+'02_Assumptions'!$E$33,AE$7-1)*'02_Assumptions'!$D$82)/1000</f>
        <v>10.7697051400773</v>
      </c>
      <c r="AF15" s="66" t="n">
        <f aca="false">(AF10*'02_Assumptions'!$D$33*POWER(1+'02_Assumptions'!$E$33,AF$7-1)*'02_Assumptions'!$D$82)/1000</f>
        <v>10.8765944635926</v>
      </c>
      <c r="AG15" s="66" t="n">
        <f aca="false">(AG10*'02_Assumptions'!$D$33*POWER(1+'02_Assumptions'!$E$33,AG$7-1)*'02_Assumptions'!$D$82)/1000</f>
        <v>10.9845446636437</v>
      </c>
    </row>
    <row r="16" customFormat="false" ht="15" hidden="false" customHeight="true" outlineLevel="0" collapsed="false">
      <c r="B16" s="65" t="s">
        <v>354</v>
      </c>
      <c r="C16" s="67" t="s">
        <v>351</v>
      </c>
      <c r="D16" s="66" t="n">
        <f aca="false">IF(D$7&gt;=3,'02_Assumptions'!$F$15*365*'02_Assumptions'!$D$34*POWER(1+'02_Assumptions'!$E$34,D$7-3)*'02_Assumptions'!$D$82,0)/1000</f>
        <v>0</v>
      </c>
      <c r="E16" s="66" t="n">
        <f aca="false">IF(E$7&gt;=3,'02_Assumptions'!$F$15*365*'02_Assumptions'!$D$34*POWER(1+'02_Assumptions'!$E$34,E$7-3)*'02_Assumptions'!$D$82,0)/1000</f>
        <v>0</v>
      </c>
      <c r="F16" s="66" t="n">
        <f aca="false">IF(F$7&gt;=3,'02_Assumptions'!$F$15*365*'02_Assumptions'!$D$34*POWER(1+'02_Assumptions'!$E$34,F$7-3)*'02_Assumptions'!$D$82,0)/1000</f>
        <v>1168</v>
      </c>
      <c r="G16" s="66" t="n">
        <f aca="false">IF(G$7&gt;=3,'02_Assumptions'!$F$15*365*'02_Assumptions'!$D$34*POWER(1+'02_Assumptions'!$E$34,G$7-3)*'02_Assumptions'!$D$82,0)/1000</f>
        <v>1191.36</v>
      </c>
      <c r="H16" s="66" t="n">
        <f aca="false">IF(H$7&gt;=3,'02_Assumptions'!$F$15*365*'02_Assumptions'!$D$34*POWER(1+'02_Assumptions'!$E$34,H$7-3)*'02_Assumptions'!$D$82,0)/1000</f>
        <v>1215.1872</v>
      </c>
      <c r="I16" s="66" t="n">
        <f aca="false">IF(I$7&gt;=3,'02_Assumptions'!$F$15*365*'02_Assumptions'!$D$34*POWER(1+'02_Assumptions'!$E$34,I$7-3)*'02_Assumptions'!$D$82,0)/1000</f>
        <v>1239.490944</v>
      </c>
      <c r="J16" s="66" t="n">
        <f aca="false">IF(J$7&gt;=3,'02_Assumptions'!$F$15*365*'02_Assumptions'!$D$34*POWER(1+'02_Assumptions'!$E$34,J$7-3)*'02_Assumptions'!$D$82,0)/1000</f>
        <v>1264.28076288</v>
      </c>
      <c r="K16" s="66" t="n">
        <f aca="false">IF(K$7&gt;=3,'02_Assumptions'!$F$15*365*'02_Assumptions'!$D$34*POWER(1+'02_Assumptions'!$E$34,K$7-3)*'02_Assumptions'!$D$82,0)/1000</f>
        <v>1289.5663781376</v>
      </c>
      <c r="L16" s="66" t="n">
        <f aca="false">IF(L$7&gt;=3,'02_Assumptions'!$F$15*365*'02_Assumptions'!$D$34*POWER(1+'02_Assumptions'!$E$34,L$7-3)*'02_Assumptions'!$D$82,0)/1000</f>
        <v>1315.35770570035</v>
      </c>
      <c r="M16" s="66" t="n">
        <f aca="false">IF(M$7&gt;=3,'02_Assumptions'!$F$15*365*'02_Assumptions'!$D$34*POWER(1+'02_Assumptions'!$E$34,M$7-3)*'02_Assumptions'!$D$82,0)/1000</f>
        <v>1341.66485981436</v>
      </c>
      <c r="N16" s="66" t="n">
        <f aca="false">IF(N$7&gt;=3,'02_Assumptions'!$F$15*365*'02_Assumptions'!$D$34*POWER(1+'02_Assumptions'!$E$34,N$7-3)*'02_Assumptions'!$D$82,0)/1000</f>
        <v>1368.49815701065</v>
      </c>
      <c r="O16" s="66" t="n">
        <f aca="false">IF(O$7&gt;=3,'02_Assumptions'!$F$15*365*'02_Assumptions'!$D$34*POWER(1+'02_Assumptions'!$E$34,O$7-3)*'02_Assumptions'!$D$82,0)/1000</f>
        <v>1395.86812015086</v>
      </c>
      <c r="P16" s="66" t="n">
        <f aca="false">IF(P$7&gt;=3,'02_Assumptions'!$F$15*365*'02_Assumptions'!$D$34*POWER(1+'02_Assumptions'!$E$34,P$7-3)*'02_Assumptions'!$D$82,0)/1000</f>
        <v>1423.78548255388</v>
      </c>
      <c r="Q16" s="66" t="n">
        <f aca="false">IF(Q$7&gt;=3,'02_Assumptions'!$F$15*365*'02_Assumptions'!$D$34*POWER(1+'02_Assumptions'!$E$34,Q$7-3)*'02_Assumptions'!$D$82,0)/1000</f>
        <v>1452.26119220495</v>
      </c>
      <c r="R16" s="66" t="n">
        <f aca="false">IF(R$7&gt;=3,'02_Assumptions'!$F$15*365*'02_Assumptions'!$D$34*POWER(1+'02_Assumptions'!$E$34,R$7-3)*'02_Assumptions'!$D$82,0)/1000</f>
        <v>1481.30641604905</v>
      </c>
      <c r="S16" s="66" t="n">
        <f aca="false">IF(S$7&gt;=3,'02_Assumptions'!$F$15*365*'02_Assumptions'!$D$34*POWER(1+'02_Assumptions'!$E$34,S$7-3)*'02_Assumptions'!$D$82,0)/1000</f>
        <v>1510.93254437003</v>
      </c>
      <c r="T16" s="66" t="n">
        <f aca="false">IF(T$7&gt;=3,'02_Assumptions'!$F$15*365*'02_Assumptions'!$D$34*POWER(1+'02_Assumptions'!$E$34,T$7-3)*'02_Assumptions'!$D$82,0)/1000</f>
        <v>1541.15119525744</v>
      </c>
      <c r="U16" s="66" t="n">
        <f aca="false">IF(U$7&gt;=3,'02_Assumptions'!$F$15*365*'02_Assumptions'!$D$34*POWER(1+'02_Assumptions'!$E$34,U$7-3)*'02_Assumptions'!$D$82,0)/1000</f>
        <v>1571.97421916258</v>
      </c>
      <c r="V16" s="66" t="n">
        <f aca="false">IF(V$7&gt;=3,'02_Assumptions'!$F$15*365*'02_Assumptions'!$D$34*POWER(1+'02_Assumptions'!$E$34,V$7-3)*'02_Assumptions'!$D$82,0)/1000</f>
        <v>1603.41370354584</v>
      </c>
      <c r="W16" s="66" t="n">
        <f aca="false">IF(W$7&gt;=3,'02_Assumptions'!$F$15*365*'02_Assumptions'!$D$34*POWER(1+'02_Assumptions'!$E$34,W$7-3)*'02_Assumptions'!$D$82,0)/1000</f>
        <v>1635.48197761675</v>
      </c>
      <c r="X16" s="66" t="n">
        <f aca="false">IF(X$7&gt;=3,'02_Assumptions'!$F$15*365*'02_Assumptions'!$D$34*POWER(1+'02_Assumptions'!$E$34,X$7-3)*'02_Assumptions'!$D$82,0)/1000</f>
        <v>1668.19161716909</v>
      </c>
      <c r="Y16" s="66" t="n">
        <f aca="false">IF(Y$7&gt;=3,'02_Assumptions'!$F$15*365*'02_Assumptions'!$D$34*POWER(1+'02_Assumptions'!$E$34,Y$7-3)*'02_Assumptions'!$D$82,0)/1000</f>
        <v>1701.55544951247</v>
      </c>
      <c r="Z16" s="66" t="n">
        <f aca="false">IF(Z$7&gt;=3,'02_Assumptions'!$F$15*365*'02_Assumptions'!$D$34*POWER(1+'02_Assumptions'!$E$34,Z$7-3)*'02_Assumptions'!$D$82,0)/1000</f>
        <v>1735.58655850272</v>
      </c>
      <c r="AA16" s="66" t="n">
        <f aca="false">IF(AA$7&gt;=3,'02_Assumptions'!$F$15*365*'02_Assumptions'!$D$34*POWER(1+'02_Assumptions'!$E$34,AA$7-3)*'02_Assumptions'!$D$82,0)/1000</f>
        <v>1770.29828967277</v>
      </c>
      <c r="AB16" s="66" t="n">
        <f aca="false">IF(AB$7&gt;=3,'02_Assumptions'!$F$15*365*'02_Assumptions'!$D$34*POWER(1+'02_Assumptions'!$E$34,AB$7-3)*'02_Assumptions'!$D$82,0)/1000</f>
        <v>1805.70425546623</v>
      </c>
      <c r="AC16" s="66" t="n">
        <f aca="false">IF(AC$7&gt;=3,'02_Assumptions'!$F$15*365*'02_Assumptions'!$D$34*POWER(1+'02_Assumptions'!$E$34,AC$7-3)*'02_Assumptions'!$D$82,0)/1000</f>
        <v>1841.81834057555</v>
      </c>
      <c r="AD16" s="66" t="n">
        <f aca="false">IF(AD$7&gt;=3,'02_Assumptions'!$F$15*365*'02_Assumptions'!$D$34*POWER(1+'02_Assumptions'!$E$34,AD$7-3)*'02_Assumptions'!$D$82,0)/1000</f>
        <v>1878.65470738706</v>
      </c>
      <c r="AE16" s="66" t="n">
        <f aca="false">IF(AE$7&gt;=3,'02_Assumptions'!$F$15*365*'02_Assumptions'!$D$34*POWER(1+'02_Assumptions'!$E$34,AE$7-3)*'02_Assumptions'!$D$82,0)/1000</f>
        <v>1916.22780153481</v>
      </c>
      <c r="AF16" s="66" t="n">
        <f aca="false">IF(AF$7&gt;=3,'02_Assumptions'!$F$15*365*'02_Assumptions'!$D$34*POWER(1+'02_Assumptions'!$E$34,AF$7-3)*'02_Assumptions'!$D$82,0)/1000</f>
        <v>1954.5523575655</v>
      </c>
      <c r="AG16" s="66" t="n">
        <f aca="false">IF(AG$7&gt;=3,'02_Assumptions'!$F$15*365*'02_Assumptions'!$D$34*POWER(1+'02_Assumptions'!$E$34,AG$7-3)*'02_Assumptions'!$D$82,0)/1000</f>
        <v>1993.64340471681</v>
      </c>
    </row>
    <row r="17" customFormat="false" ht="15" hidden="false" customHeight="true" outlineLevel="0" collapsed="false">
      <c r="B17" s="65" t="s">
        <v>355</v>
      </c>
      <c r="C17" s="67" t="s">
        <v>351</v>
      </c>
      <c r="D17" s="66" t="n">
        <f aca="false">IF(D$7&gt;=5,'02_Assumptions'!$E$22*1000*8760*0.85/'02_Assumptions'!$D$36*'02_Assumptions'!$D$35*POWER(1+'02_Assumptions'!$E$35,D$7-5)*'02_Assumptions'!$D$82,0)/1000000</f>
        <v>0</v>
      </c>
      <c r="E17" s="66" t="n">
        <f aca="false">IF(E$7&gt;=5,'02_Assumptions'!$E$22*1000*8760*0.85/'02_Assumptions'!$D$36*'02_Assumptions'!$D$35*POWER(1+'02_Assumptions'!$E$35,E$7-5)*'02_Assumptions'!$D$82,0)/1000000</f>
        <v>0</v>
      </c>
      <c r="F17" s="66" t="n">
        <f aca="false">IF(F$7&gt;=5,'02_Assumptions'!$E$22*1000*8760*0.85/'02_Assumptions'!$D$36*'02_Assumptions'!$D$35*POWER(1+'02_Assumptions'!$E$35,F$7-5)*'02_Assumptions'!$D$82,0)/1000000</f>
        <v>0</v>
      </c>
      <c r="G17" s="66" t="n">
        <f aca="false">IF(G$7&gt;=5,'02_Assumptions'!$E$22*1000*8760*0.85/'02_Assumptions'!$D$36*'02_Assumptions'!$D$35*POWER(1+'02_Assumptions'!$E$35,G$7-5)*'02_Assumptions'!$D$82,0)/1000000</f>
        <v>0</v>
      </c>
      <c r="H17" s="66" t="n">
        <f aca="false">IF(H$7&gt;=5,'02_Assumptions'!$E$22*1000*8760*0.85/'02_Assumptions'!$D$36*'02_Assumptions'!$D$35*POWER(1+'02_Assumptions'!$E$35,H$7-5)*'02_Assumptions'!$D$82,0)/1000000</f>
        <v>32.2182692307692</v>
      </c>
      <c r="I17" s="66" t="n">
        <f aca="false">IF(I$7&gt;=5,'02_Assumptions'!$E$22*1000*8760*0.85/'02_Assumptions'!$D$36*'02_Assumptions'!$D$35*POWER(1+'02_Assumptions'!$E$35,I$7-5)*'02_Assumptions'!$D$82,0)/1000000</f>
        <v>32.8626346153846</v>
      </c>
      <c r="J17" s="66" t="n">
        <f aca="false">IF(J$7&gt;=5,'02_Assumptions'!$E$22*1000*8760*0.85/'02_Assumptions'!$D$36*'02_Assumptions'!$D$35*POWER(1+'02_Assumptions'!$E$35,J$7-5)*'02_Assumptions'!$D$82,0)/1000000</f>
        <v>33.5198873076923</v>
      </c>
      <c r="K17" s="66" t="n">
        <f aca="false">IF(K$7&gt;=5,'02_Assumptions'!$E$22*1000*8760*0.85/'02_Assumptions'!$D$36*'02_Assumptions'!$D$35*POWER(1+'02_Assumptions'!$E$35,K$7-5)*'02_Assumptions'!$D$82,0)/1000000</f>
        <v>34.1902850538462</v>
      </c>
      <c r="L17" s="66" t="n">
        <f aca="false">IF(L$7&gt;=5,'02_Assumptions'!$E$22*1000*8760*0.85/'02_Assumptions'!$D$36*'02_Assumptions'!$D$35*POWER(1+'02_Assumptions'!$E$35,L$7-5)*'02_Assumptions'!$D$82,0)/1000000</f>
        <v>34.8740907549231</v>
      </c>
      <c r="M17" s="66" t="n">
        <f aca="false">IF(M$7&gt;=5,'02_Assumptions'!$E$22*1000*8760*0.85/'02_Assumptions'!$D$36*'02_Assumptions'!$D$35*POWER(1+'02_Assumptions'!$E$35,M$7-5)*'02_Assumptions'!$D$82,0)/1000000</f>
        <v>35.5715725700215</v>
      </c>
      <c r="N17" s="66" t="n">
        <f aca="false">IF(N$7&gt;=5,'02_Assumptions'!$E$22*1000*8760*0.85/'02_Assumptions'!$D$36*'02_Assumptions'!$D$35*POWER(1+'02_Assumptions'!$E$35,N$7-5)*'02_Assumptions'!$D$82,0)/1000000</f>
        <v>36.283004021422</v>
      </c>
      <c r="O17" s="66" t="n">
        <f aca="false">IF(O$7&gt;=5,'02_Assumptions'!$E$22*1000*8760*0.85/'02_Assumptions'!$D$36*'02_Assumptions'!$D$35*POWER(1+'02_Assumptions'!$E$35,O$7-5)*'02_Assumptions'!$D$82,0)/1000000</f>
        <v>37.0086641018504</v>
      </c>
      <c r="P17" s="66" t="n">
        <f aca="false">IF(P$7&gt;=5,'02_Assumptions'!$E$22*1000*8760*0.85/'02_Assumptions'!$D$36*'02_Assumptions'!$D$35*POWER(1+'02_Assumptions'!$E$35,P$7-5)*'02_Assumptions'!$D$82,0)/1000000</f>
        <v>37.7488373838874</v>
      </c>
      <c r="Q17" s="66" t="n">
        <f aca="false">IF(Q$7&gt;=5,'02_Assumptions'!$E$22*1000*8760*0.85/'02_Assumptions'!$D$36*'02_Assumptions'!$D$35*POWER(1+'02_Assumptions'!$E$35,Q$7-5)*'02_Assumptions'!$D$82,0)/1000000</f>
        <v>38.5038141315652</v>
      </c>
      <c r="R17" s="66" t="n">
        <f aca="false">IF(R$7&gt;=5,'02_Assumptions'!$E$22*1000*8760*0.85/'02_Assumptions'!$D$36*'02_Assumptions'!$D$35*POWER(1+'02_Assumptions'!$E$35,R$7-5)*'02_Assumptions'!$D$82,0)/1000000</f>
        <v>39.2738904141965</v>
      </c>
      <c r="S17" s="66" t="n">
        <f aca="false">IF(S$7&gt;=5,'02_Assumptions'!$E$22*1000*8760*0.85/'02_Assumptions'!$D$36*'02_Assumptions'!$D$35*POWER(1+'02_Assumptions'!$E$35,S$7-5)*'02_Assumptions'!$D$82,0)/1000000</f>
        <v>40.0593682224804</v>
      </c>
      <c r="T17" s="66" t="n">
        <f aca="false">IF(T$7&gt;=5,'02_Assumptions'!$E$22*1000*8760*0.85/'02_Assumptions'!$D$36*'02_Assumptions'!$D$35*POWER(1+'02_Assumptions'!$E$35,T$7-5)*'02_Assumptions'!$D$82,0)/1000000</f>
        <v>40.86055558693</v>
      </c>
      <c r="U17" s="66" t="n">
        <f aca="false">IF(U$7&gt;=5,'02_Assumptions'!$E$22*1000*8760*0.85/'02_Assumptions'!$D$36*'02_Assumptions'!$D$35*POWER(1+'02_Assumptions'!$E$35,U$7-5)*'02_Assumptions'!$D$82,0)/1000000</f>
        <v>41.6777666986686</v>
      </c>
      <c r="V17" s="66" t="n">
        <f aca="false">IF(V$7&gt;=5,'02_Assumptions'!$E$22*1000*8760*0.85/'02_Assumptions'!$D$36*'02_Assumptions'!$D$35*POWER(1+'02_Assumptions'!$E$35,V$7-5)*'02_Assumptions'!$D$82,0)/1000000</f>
        <v>42.511322032642</v>
      </c>
      <c r="W17" s="66" t="n">
        <f aca="false">IF(W$7&gt;=5,'02_Assumptions'!$E$22*1000*8760*0.85/'02_Assumptions'!$D$36*'02_Assumptions'!$D$35*POWER(1+'02_Assumptions'!$E$35,W$7-5)*'02_Assumptions'!$D$82,0)/1000000</f>
        <v>43.3615484732948</v>
      </c>
      <c r="X17" s="66" t="n">
        <f aca="false">IF(X$7&gt;=5,'02_Assumptions'!$E$22*1000*8760*0.85/'02_Assumptions'!$D$36*'02_Assumptions'!$D$35*POWER(1+'02_Assumptions'!$E$35,X$7-5)*'02_Assumptions'!$D$82,0)/1000000</f>
        <v>44.2287794427607</v>
      </c>
      <c r="Y17" s="66" t="n">
        <f aca="false">IF(Y$7&gt;=5,'02_Assumptions'!$E$22*1000*8760*0.85/'02_Assumptions'!$D$36*'02_Assumptions'!$D$35*POWER(1+'02_Assumptions'!$E$35,Y$7-5)*'02_Assumptions'!$D$82,0)/1000000</f>
        <v>45.1133550316159</v>
      </c>
      <c r="Z17" s="66" t="n">
        <f aca="false">IF(Z$7&gt;=5,'02_Assumptions'!$E$22*1000*8760*0.85/'02_Assumptions'!$D$36*'02_Assumptions'!$D$35*POWER(1+'02_Assumptions'!$E$35,Z$7-5)*'02_Assumptions'!$D$82,0)/1000000</f>
        <v>46.0156221322483</v>
      </c>
      <c r="AA17" s="66" t="n">
        <f aca="false">IF(AA$7&gt;=5,'02_Assumptions'!$E$22*1000*8760*0.85/'02_Assumptions'!$D$36*'02_Assumptions'!$D$35*POWER(1+'02_Assumptions'!$E$35,AA$7-5)*'02_Assumptions'!$D$82,0)/1000000</f>
        <v>46.9359345748932</v>
      </c>
      <c r="AB17" s="66" t="n">
        <f aca="false">IF(AB$7&gt;=5,'02_Assumptions'!$E$22*1000*8760*0.85/'02_Assumptions'!$D$36*'02_Assumptions'!$D$35*POWER(1+'02_Assumptions'!$E$35,AB$7-5)*'02_Assumptions'!$D$82,0)/1000000</f>
        <v>47.8746532663911</v>
      </c>
      <c r="AC17" s="66" t="n">
        <f aca="false">IF(AC$7&gt;=5,'02_Assumptions'!$E$22*1000*8760*0.85/'02_Assumptions'!$D$36*'02_Assumptions'!$D$35*POWER(1+'02_Assumptions'!$E$35,AC$7-5)*'02_Assumptions'!$D$82,0)/1000000</f>
        <v>48.8321463317189</v>
      </c>
      <c r="AD17" s="66" t="n">
        <f aca="false">IF(AD$7&gt;=5,'02_Assumptions'!$E$22*1000*8760*0.85/'02_Assumptions'!$D$36*'02_Assumptions'!$D$35*POWER(1+'02_Assumptions'!$E$35,AD$7-5)*'02_Assumptions'!$D$82,0)/1000000</f>
        <v>49.8087892583533</v>
      </c>
      <c r="AE17" s="66" t="n">
        <f aca="false">IF(AE$7&gt;=5,'02_Assumptions'!$E$22*1000*8760*0.85/'02_Assumptions'!$D$36*'02_Assumptions'!$D$35*POWER(1+'02_Assumptions'!$E$35,AE$7-5)*'02_Assumptions'!$D$82,0)/1000000</f>
        <v>50.8049650435204</v>
      </c>
      <c r="AF17" s="66" t="n">
        <f aca="false">IF(AF$7&gt;=5,'02_Assumptions'!$E$22*1000*8760*0.85/'02_Assumptions'!$D$36*'02_Assumptions'!$D$35*POWER(1+'02_Assumptions'!$E$35,AF$7-5)*'02_Assumptions'!$D$82,0)/1000000</f>
        <v>51.8210643443908</v>
      </c>
      <c r="AG17" s="66" t="n">
        <f aca="false">IF(AG$7&gt;=5,'02_Assumptions'!$E$22*1000*8760*0.85/'02_Assumptions'!$D$36*'02_Assumptions'!$D$35*POWER(1+'02_Assumptions'!$E$35,AG$7-5)*'02_Assumptions'!$D$82,0)/1000000</f>
        <v>52.8574856312786</v>
      </c>
    </row>
    <row r="19" customFormat="false" ht="21.75" hidden="false" customHeight="true" outlineLevel="0" collapsed="false">
      <c r="B19" s="68" t="s">
        <v>356</v>
      </c>
      <c r="C19" s="69" t="s">
        <v>351</v>
      </c>
      <c r="D19" s="70" t="n">
        <f aca="false">SUM(D13:D17)</f>
        <v>86.366592</v>
      </c>
      <c r="E19" s="70" t="n">
        <f aca="false">SUM(E13:E17)</f>
        <v>87.6371374944</v>
      </c>
      <c r="F19" s="70" t="n">
        <f aca="false">SUM(F13:F17)</f>
        <v>1541.89957174766</v>
      </c>
      <c r="G19" s="70" t="n">
        <f aca="false">SUM(G13:G17)</f>
        <v>1572.4464838083</v>
      </c>
      <c r="H19" s="70" t="n">
        <f aca="false">SUM(H13:H17)</f>
        <v>1635.81848076003</v>
      </c>
      <c r="I19" s="70" t="n">
        <f aca="false">SUM(I13:I17)</f>
        <v>1668.2354644799</v>
      </c>
      <c r="J19" s="70" t="n">
        <f aca="false">SUM(J13:J17)</f>
        <v>1701.29654162022</v>
      </c>
      <c r="K19" s="70" t="n">
        <f aca="false">SUM(K13:K17)</f>
        <v>1735.01453076559</v>
      </c>
      <c r="L19" s="70" t="n">
        <f aca="false">SUM(L13:L17)</f>
        <v>1769.40250588662</v>
      </c>
      <c r="M19" s="70" t="n">
        <f aca="false">SUM(M13:M17)</f>
        <v>1804.47380143165</v>
      </c>
      <c r="N19" s="70" t="n">
        <f aca="false">SUM(N13:N17)</f>
        <v>1840.24201752014</v>
      </c>
      <c r="O19" s="70" t="n">
        <f aca="false">SUM(O13:O17)</f>
        <v>1876.72102523952</v>
      </c>
      <c r="P19" s="70" t="n">
        <f aca="false">SUM(P13:P17)</f>
        <v>1913.92497204786</v>
      </c>
      <c r="Q19" s="70" t="n">
        <f aca="false">SUM(Q13:Q17)</f>
        <v>1951.86828728416</v>
      </c>
      <c r="R19" s="70" t="n">
        <f aca="false">SUM(R13:R17)</f>
        <v>1990.56568778865</v>
      </c>
      <c r="S19" s="70" t="n">
        <f aca="false">SUM(S13:S17)</f>
        <v>2030.0321836352</v>
      </c>
      <c r="T19" s="70" t="n">
        <f aca="false">SUM(T13:T17)</f>
        <v>2070.28308397804</v>
      </c>
      <c r="U19" s="70" t="n">
        <f aca="false">SUM(U13:U17)</f>
        <v>2111.33400301514</v>
      </c>
      <c r="V19" s="70" t="n">
        <f aca="false">SUM(V13:V17)</f>
        <v>2153.20086607056</v>
      </c>
      <c r="W19" s="70" t="n">
        <f aca="false">SUM(W13:W17)</f>
        <v>2195.89991579811</v>
      </c>
      <c r="X19" s="70" t="n">
        <f aca="false">SUM(X13:X17)</f>
        <v>2239.44771850879</v>
      </c>
      <c r="Y19" s="70" t="n">
        <f aca="false">SUM(Y13:Y17)</f>
        <v>2283.86117062445</v>
      </c>
      <c r="Z19" s="70" t="n">
        <f aca="false">SUM(Z13:Z17)</f>
        <v>2329.15750526016</v>
      </c>
      <c r="AA19" s="70" t="n">
        <f aca="false">SUM(AA13:AA17)</f>
        <v>2375.35429893798</v>
      </c>
      <c r="AB19" s="70" t="n">
        <f aca="false">SUM(AB13:AB17)</f>
        <v>2422.46947843454</v>
      </c>
      <c r="AC19" s="70" t="n">
        <f aca="false">SUM(AC13:AC17)</f>
        <v>2470.52132776537</v>
      </c>
      <c r="AD19" s="70" t="n">
        <f aca="false">SUM(AD13:AD17)</f>
        <v>2519.5284953084</v>
      </c>
      <c r="AE19" s="70" t="n">
        <f aca="false">SUM(AE13:AE17)</f>
        <v>2569.51000106978</v>
      </c>
      <c r="AF19" s="70" t="n">
        <f aca="false">SUM(AF13:AF17)</f>
        <v>2620.48524409441</v>
      </c>
      <c r="AG19" s="70" t="n">
        <f aca="false">SUM(AG13:AG17)</f>
        <v>2672.47401002454</v>
      </c>
    </row>
    <row r="21" customFormat="false" ht="15" hidden="false" customHeight="true" outlineLevel="0" collapsed="false">
      <c r="B21" s="62" t="s">
        <v>357</v>
      </c>
      <c r="C21" s="67" t="s">
        <v>351</v>
      </c>
      <c r="D21" s="71" t="n">
        <f aca="false">D19</f>
        <v>86.366592</v>
      </c>
      <c r="E21" s="71" t="n">
        <f aca="false">D21+E19</f>
        <v>174.0037294944</v>
      </c>
      <c r="F21" s="71" t="n">
        <f aca="false">E21+F19</f>
        <v>1715.90330124206</v>
      </c>
      <c r="G21" s="71" t="n">
        <f aca="false">F21+G19</f>
        <v>3288.34978505036</v>
      </c>
      <c r="H21" s="71" t="n">
        <f aca="false">G21+H19</f>
        <v>4924.16826581039</v>
      </c>
      <c r="I21" s="71" t="n">
        <f aca="false">H21+I19</f>
        <v>6592.40373029029</v>
      </c>
      <c r="J21" s="71" t="n">
        <f aca="false">I21+J19</f>
        <v>8293.70027191051</v>
      </c>
      <c r="K21" s="71" t="n">
        <f aca="false">J21+K19</f>
        <v>10028.7148026761</v>
      </c>
      <c r="L21" s="71" t="n">
        <f aca="false">K21+L19</f>
        <v>11798.1173085627</v>
      </c>
      <c r="M21" s="71" t="n">
        <f aca="false">L21+M19</f>
        <v>13602.5911099944</v>
      </c>
      <c r="N21" s="71" t="n">
        <f aca="false">M21+N19</f>
        <v>15442.8331275145</v>
      </c>
      <c r="O21" s="71" t="n">
        <f aca="false">N21+O19</f>
        <v>17319.554152754</v>
      </c>
      <c r="P21" s="71" t="n">
        <f aca="false">O21+P19</f>
        <v>19233.4791248019</v>
      </c>
      <c r="Q21" s="71" t="n">
        <f aca="false">P21+Q19</f>
        <v>21185.3474120861</v>
      </c>
      <c r="R21" s="71" t="n">
        <f aca="false">Q21+R19</f>
        <v>23175.9130998747</v>
      </c>
      <c r="S21" s="71" t="n">
        <f aca="false">R21+S19</f>
        <v>25205.9452835099</v>
      </c>
      <c r="T21" s="71" t="n">
        <f aca="false">S21+T19</f>
        <v>27276.2283674879</v>
      </c>
      <c r="U21" s="71" t="n">
        <f aca="false">T21+U19</f>
        <v>29387.5623705031</v>
      </c>
      <c r="V21" s="71" t="n">
        <f aca="false">U21+V19</f>
        <v>31540.7632365736</v>
      </c>
      <c r="W21" s="71" t="n">
        <f aca="false">V21+W19</f>
        <v>33736.6631523717</v>
      </c>
      <c r="X21" s="71" t="n">
        <f aca="false">W21+X19</f>
        <v>35976.1108708805</v>
      </c>
      <c r="Y21" s="71" t="n">
        <f aca="false">X21+Y19</f>
        <v>38259.972041505</v>
      </c>
      <c r="Z21" s="71" t="n">
        <f aca="false">Y21+Z19</f>
        <v>40589.1295467651</v>
      </c>
      <c r="AA21" s="71" t="n">
        <f aca="false">Z21+AA19</f>
        <v>42964.4838457031</v>
      </c>
      <c r="AB21" s="71" t="n">
        <f aca="false">AA21+AB19</f>
        <v>45386.9533241377</v>
      </c>
      <c r="AC21" s="71" t="n">
        <f aca="false">AB21+AC19</f>
        <v>47857.474651903</v>
      </c>
      <c r="AD21" s="71" t="n">
        <f aca="false">AC21+AD19</f>
        <v>50377.0031472114</v>
      </c>
      <c r="AE21" s="71" t="n">
        <f aca="false">AD21+AE19</f>
        <v>52946.5131482812</v>
      </c>
      <c r="AF21" s="71" t="n">
        <f aca="false">AE21+AF19</f>
        <v>55566.9983923756</v>
      </c>
      <c r="AG21" s="71" t="n">
        <f aca="false">AF21+AG19</f>
        <v>58239.4724024002</v>
      </c>
    </row>
  </sheetData>
  <mergeCells count="2">
    <mergeCell ref="B2:K2"/>
    <mergeCell ref="B3:K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K3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8"/>
    <col collapsed="false" customWidth="true" hidden="false" outlineLevel="0" max="3" min="3" style="1" width="16"/>
    <col collapsed="false" customWidth="true" hidden="false" outlineLevel="0" max="8" min="4" style="1" width="13"/>
    <col collapsed="false" customWidth="true" hidden="false" outlineLevel="0" max="9" min="9" style="1" width="14"/>
    <col collapsed="false" customWidth="true" hidden="false" outlineLevel="0" max="10" min="10" style="1" width="9"/>
    <col collapsed="false" customWidth="true" hidden="false" outlineLevel="0" max="11" min="11" style="1" width="35"/>
  </cols>
  <sheetData>
    <row r="2" customFormat="false" ht="24" hidden="false" customHeight="true" outlineLevel="0" collapsed="false">
      <c r="B2" s="31" t="s">
        <v>358</v>
      </c>
      <c r="C2" s="31"/>
      <c r="D2" s="31"/>
      <c r="E2" s="31"/>
      <c r="F2" s="31"/>
      <c r="G2" s="31"/>
      <c r="H2" s="31"/>
      <c r="I2" s="31"/>
      <c r="J2" s="31"/>
      <c r="K2" s="31"/>
    </row>
    <row r="3" customFormat="false" ht="15" hidden="false" customHeight="true" outlineLevel="0" collapsed="false">
      <c r="B3" s="32" t="s">
        <v>359</v>
      </c>
      <c r="C3" s="32"/>
      <c r="D3" s="32"/>
      <c r="E3" s="32"/>
      <c r="F3" s="32"/>
      <c r="G3" s="32"/>
      <c r="H3" s="32"/>
      <c r="I3" s="32"/>
      <c r="J3" s="32"/>
      <c r="K3" s="32"/>
    </row>
    <row r="5" customFormat="false" ht="21.75" hidden="false" customHeight="true" outlineLevel="0" collapsed="false">
      <c r="B5" s="33" t="s">
        <v>360</v>
      </c>
      <c r="C5" s="33"/>
      <c r="D5" s="33"/>
      <c r="E5" s="33"/>
      <c r="F5" s="33"/>
      <c r="G5" s="33"/>
      <c r="H5" s="33"/>
      <c r="I5" s="33"/>
      <c r="J5" s="33"/>
      <c r="K5" s="2"/>
    </row>
    <row r="6" customFormat="false" ht="31.5" hidden="false" customHeight="true" outlineLevel="0" collapsed="false">
      <c r="B6" s="72" t="s">
        <v>361</v>
      </c>
      <c r="C6" s="72" t="s">
        <v>362</v>
      </c>
      <c r="D6" s="72" t="s">
        <v>363</v>
      </c>
      <c r="E6" s="72" t="s">
        <v>364</v>
      </c>
      <c r="F6" s="72" t="s">
        <v>365</v>
      </c>
      <c r="G6" s="72" t="s">
        <v>366</v>
      </c>
      <c r="H6" s="72" t="s">
        <v>367</v>
      </c>
      <c r="I6" s="72" t="s">
        <v>368</v>
      </c>
      <c r="J6" s="72" t="s">
        <v>369</v>
      </c>
      <c r="K6" s="72" t="s">
        <v>370</v>
      </c>
    </row>
    <row r="7" customFormat="false" ht="15" hidden="false" customHeight="true" outlineLevel="0" collapsed="false">
      <c r="B7" s="65" t="s">
        <v>371</v>
      </c>
      <c r="C7" s="73"/>
      <c r="D7" s="71" t="n">
        <f aca="false">$I$7*0.1</f>
        <v>27.72</v>
      </c>
      <c r="E7" s="71" t="n">
        <f aca="false">$I$7*0.45</f>
        <v>124.74</v>
      </c>
      <c r="F7" s="71" t="n">
        <f aca="false">$I$7*0.45</f>
        <v>124.74</v>
      </c>
      <c r="G7" s="74" t="n">
        <v>0</v>
      </c>
      <c r="H7" s="74" t="n">
        <v>0</v>
      </c>
      <c r="I7" s="41" t="n">
        <f aca="false">'02_Assumptions'!D40*'02_Assumptions'!F10</f>
        <v>277.2</v>
      </c>
      <c r="J7" s="75" t="n">
        <f aca="false">I7/$I$33</f>
        <v>0.0609062473891143</v>
      </c>
      <c r="K7" s="76" t="s">
        <v>372</v>
      </c>
    </row>
    <row r="8" customFormat="false" ht="15" hidden="false" customHeight="true" outlineLevel="0" collapsed="false">
      <c r="B8" s="65" t="s">
        <v>373</v>
      </c>
      <c r="C8" s="73"/>
      <c r="D8" s="71" t="n">
        <f aca="false">$I$8*0.15</f>
        <v>154.44</v>
      </c>
      <c r="E8" s="71" t="n">
        <f aca="false">$I$8*0.5</f>
        <v>514.8</v>
      </c>
      <c r="F8" s="71" t="n">
        <f aca="false">$I$8*0.35</f>
        <v>360.36</v>
      </c>
      <c r="G8" s="74" t="n">
        <v>0</v>
      </c>
      <c r="H8" s="74" t="n">
        <v>0</v>
      </c>
      <c r="I8" s="41" t="n">
        <f aca="false">'02_Assumptions'!D41*'02_Assumptions'!F10</f>
        <v>1029.6</v>
      </c>
      <c r="J8" s="75" t="n">
        <f aca="false">I8/$I$33</f>
        <v>0.226223204588139</v>
      </c>
      <c r="K8" s="76" t="s">
        <v>374</v>
      </c>
    </row>
    <row r="9" customFormat="false" ht="15" hidden="false" customHeight="true" outlineLevel="0" collapsed="false">
      <c r="B9" s="65" t="s">
        <v>375</v>
      </c>
      <c r="C9" s="73"/>
      <c r="D9" s="71" t="n">
        <f aca="false">$I$9*0.2</f>
        <v>44.88</v>
      </c>
      <c r="E9" s="71" t="n">
        <f aca="false">$I$9*0.5</f>
        <v>112.2</v>
      </c>
      <c r="F9" s="71" t="n">
        <f aca="false">$I$9*0.3</f>
        <v>67.32</v>
      </c>
      <c r="G9" s="74" t="n">
        <v>0</v>
      </c>
      <c r="H9" s="74" t="n">
        <v>0</v>
      </c>
      <c r="I9" s="41" t="n">
        <f aca="false">'02_Assumptions'!D42*'02_Assumptions'!F10</f>
        <v>224.4</v>
      </c>
      <c r="J9" s="75" t="n">
        <f aca="false">I9/$I$33</f>
        <v>0.0493050574102354</v>
      </c>
      <c r="K9" s="76" t="s">
        <v>376</v>
      </c>
    </row>
    <row r="10" customFormat="false" ht="15" hidden="false" customHeight="true" outlineLevel="0" collapsed="false">
      <c r="B10" s="65" t="s">
        <v>377</v>
      </c>
      <c r="C10" s="73"/>
      <c r="D10" s="71" t="n">
        <f aca="false">$I$10*0.1</f>
        <v>11.88</v>
      </c>
      <c r="E10" s="71" t="n">
        <f aca="false">$I$10*0.4</f>
        <v>47.52</v>
      </c>
      <c r="F10" s="71" t="n">
        <f aca="false">$I$10*0.5</f>
        <v>59.4</v>
      </c>
      <c r="G10" s="74" t="n">
        <v>0</v>
      </c>
      <c r="H10" s="74" t="n">
        <v>0</v>
      </c>
      <c r="I10" s="41" t="n">
        <f aca="false">'02_Assumptions'!D43*'02_Assumptions'!F10</f>
        <v>118.8</v>
      </c>
      <c r="J10" s="75" t="n">
        <f aca="false">I10/$I$33</f>
        <v>0.0261026774524776</v>
      </c>
      <c r="K10" s="76" t="s">
        <v>378</v>
      </c>
    </row>
    <row r="11" customFormat="false" ht="15" hidden="false" customHeight="true" outlineLevel="0" collapsed="false">
      <c r="B11" s="65" t="s">
        <v>379</v>
      </c>
      <c r="C11" s="73"/>
      <c r="D11" s="71" t="n">
        <f aca="false">$I$11*0.15</f>
        <v>9.9</v>
      </c>
      <c r="E11" s="71" t="n">
        <f aca="false">$I$11*0.4</f>
        <v>26.4</v>
      </c>
      <c r="F11" s="71" t="n">
        <f aca="false">$I$11*0.45</f>
        <v>29.7</v>
      </c>
      <c r="G11" s="74" t="n">
        <v>0</v>
      </c>
      <c r="H11" s="74" t="n">
        <v>0</v>
      </c>
      <c r="I11" s="41" t="n">
        <f aca="false">'02_Assumptions'!D44*'02_Assumptions'!F10</f>
        <v>66</v>
      </c>
      <c r="J11" s="75" t="n">
        <f aca="false">I11/$I$33</f>
        <v>0.0145014874735986</v>
      </c>
      <c r="K11" s="76" t="s">
        <v>380</v>
      </c>
    </row>
    <row r="12" customFormat="false" ht="15" hidden="false" customHeight="true" outlineLevel="0" collapsed="false">
      <c r="B12" s="77" t="s">
        <v>381</v>
      </c>
      <c r="D12" s="78" t="n">
        <f aca="false">SUM(D7:D11)</f>
        <v>248.82</v>
      </c>
      <c r="E12" s="78" t="n">
        <f aca="false">SUM(E7:E11)</f>
        <v>825.66</v>
      </c>
      <c r="F12" s="78" t="n">
        <f aca="false">SUM(F7:F11)</f>
        <v>641.52</v>
      </c>
      <c r="G12" s="78" t="n">
        <f aca="false">SUM(G7:G11)</f>
        <v>0</v>
      </c>
      <c r="H12" s="78" t="n">
        <f aca="false">SUM(H7:H11)</f>
        <v>0</v>
      </c>
      <c r="I12" s="78" t="n">
        <f aca="false">SUM(I7:I11)</f>
        <v>1716</v>
      </c>
      <c r="J12" s="79" t="n">
        <f aca="false">I12/$I$33</f>
        <v>0.377038674313565</v>
      </c>
      <c r="K12" s="80"/>
    </row>
    <row r="13" customFormat="false" ht="15" hidden="false" customHeight="true" outlineLevel="0" collapsed="false">
      <c r="B13" s="81" t="s">
        <v>382</v>
      </c>
      <c r="C13" s="82"/>
      <c r="D13" s="82"/>
      <c r="E13" s="82"/>
      <c r="F13" s="82"/>
      <c r="G13" s="82"/>
      <c r="H13" s="82"/>
      <c r="I13" s="82"/>
      <c r="J13" s="82"/>
      <c r="K13" s="82"/>
    </row>
    <row r="14" customFormat="false" ht="15" hidden="false" customHeight="true" outlineLevel="0" collapsed="false">
      <c r="B14" s="35" t="s">
        <v>383</v>
      </c>
      <c r="D14" s="74" t="n">
        <v>0</v>
      </c>
      <c r="E14" s="74" t="n">
        <v>0</v>
      </c>
      <c r="F14" s="71" t="n">
        <f aca="false">$I$14*0.5</f>
        <v>138</v>
      </c>
      <c r="G14" s="71" t="n">
        <f aca="false">$I$14*0.5</f>
        <v>138</v>
      </c>
      <c r="H14" s="74" t="n">
        <v>0</v>
      </c>
      <c r="I14" s="41" t="n">
        <f aca="false">('02_Assumptions'!D46+'02_Assumptions'!D47)*'02_Assumptions'!F17/1000</f>
        <v>276</v>
      </c>
      <c r="J14" s="75" t="n">
        <f aca="false">I14/$I$33</f>
        <v>0.0606425839805034</v>
      </c>
      <c r="K14" s="83" t="s">
        <v>384</v>
      </c>
    </row>
    <row r="15" customFormat="false" ht="15" hidden="false" customHeight="true" outlineLevel="0" collapsed="false">
      <c r="B15" s="81" t="s">
        <v>385</v>
      </c>
      <c r="C15" s="82"/>
      <c r="D15" s="82"/>
      <c r="E15" s="82"/>
      <c r="F15" s="82"/>
      <c r="G15" s="82"/>
      <c r="H15" s="82"/>
      <c r="I15" s="82"/>
      <c r="J15" s="82"/>
      <c r="K15" s="82"/>
    </row>
    <row r="16" customFormat="false" ht="15" hidden="false" customHeight="true" outlineLevel="0" collapsed="false">
      <c r="B16" s="35" t="s">
        <v>386</v>
      </c>
      <c r="D16" s="74" t="n">
        <v>0</v>
      </c>
      <c r="E16" s="74" t="n">
        <v>0</v>
      </c>
      <c r="F16" s="71" t="n">
        <f aca="false">$I$16*0.1</f>
        <v>210</v>
      </c>
      <c r="G16" s="71" t="n">
        <f aca="false">$I$16*0.55</f>
        <v>1155</v>
      </c>
      <c r="H16" s="71" t="n">
        <f aca="false">$I$16*0.35</f>
        <v>735</v>
      </c>
      <c r="I16" s="41" t="n">
        <f aca="false">'02_Assumptions'!D48*'02_Assumptions'!E19</f>
        <v>2100</v>
      </c>
      <c r="J16" s="84" t="n">
        <f aca="false">I16/$I$33</f>
        <v>0.461410965069048</v>
      </c>
      <c r="K16" s="83" t="s">
        <v>387</v>
      </c>
    </row>
    <row r="17" customFormat="false" ht="15" hidden="false" customHeight="true" outlineLevel="0" collapsed="false">
      <c r="B17" s="35" t="s">
        <v>189</v>
      </c>
      <c r="D17" s="74" t="n">
        <v>0</v>
      </c>
      <c r="E17" s="74" t="n">
        <v>0</v>
      </c>
      <c r="F17" s="74" t="n">
        <v>0</v>
      </c>
      <c r="G17" s="71" t="n">
        <f aca="false">$I$17*0.5</f>
        <v>27.5</v>
      </c>
      <c r="H17" s="71" t="n">
        <f aca="false">$I$17*0.5</f>
        <v>27.5</v>
      </c>
      <c r="I17" s="41" t="n">
        <f aca="false">'02_Assumptions'!D49*'02_Assumptions'!E22/1000</f>
        <v>55</v>
      </c>
      <c r="J17" s="84" t="n">
        <f aca="false">I17/$I$33</f>
        <v>0.0120845728946655</v>
      </c>
      <c r="K17" s="83" t="s">
        <v>388</v>
      </c>
    </row>
    <row r="18" customFormat="false" ht="15" hidden="false" customHeight="true" outlineLevel="0" collapsed="false">
      <c r="B18" s="81" t="s">
        <v>389</v>
      </c>
      <c r="C18" s="82"/>
      <c r="D18" s="82"/>
      <c r="E18" s="82"/>
      <c r="F18" s="82"/>
      <c r="G18" s="82"/>
      <c r="H18" s="82"/>
      <c r="I18" s="82"/>
      <c r="J18" s="82"/>
      <c r="K18" s="82"/>
    </row>
    <row r="19" customFormat="false" ht="15" hidden="false" customHeight="true" outlineLevel="0" collapsed="false">
      <c r="B19" s="35" t="s">
        <v>390</v>
      </c>
      <c r="D19" s="71" t="n">
        <f aca="false">$I$19*0.1</f>
        <v>13.975</v>
      </c>
      <c r="E19" s="71" t="n">
        <f aca="false">$I$19*0.4</f>
        <v>55.9</v>
      </c>
      <c r="F19" s="71" t="n">
        <f aca="false">$I$19*0.5</f>
        <v>69.875</v>
      </c>
      <c r="G19" s="74" t="n">
        <v>0</v>
      </c>
      <c r="H19" s="74" t="n">
        <v>0</v>
      </c>
      <c r="I19" s="41" t="n">
        <f aca="false">'02_Assumptions'!D50*65</f>
        <v>139.75</v>
      </c>
      <c r="J19" s="84" t="n">
        <f aca="false">I19/$I$33</f>
        <v>0.0307058011278092</v>
      </c>
      <c r="K19" s="83" t="s">
        <v>391</v>
      </c>
    </row>
    <row r="20" customFormat="false" ht="15" hidden="false" customHeight="true" outlineLevel="0" collapsed="false">
      <c r="B20" s="35" t="s">
        <v>195</v>
      </c>
      <c r="D20" s="71" t="n">
        <f aca="false">$I$20*0.1</f>
        <v>8.5</v>
      </c>
      <c r="E20" s="71" t="n">
        <f aca="false">$I$20*0.5</f>
        <v>42.5</v>
      </c>
      <c r="F20" s="71" t="n">
        <f aca="false">$I$20*0.4</f>
        <v>34</v>
      </c>
      <c r="G20" s="74" t="n">
        <v>0</v>
      </c>
      <c r="H20" s="74" t="n">
        <v>0</v>
      </c>
      <c r="I20" s="41" t="n">
        <f aca="false">'02_Assumptions'!D51</f>
        <v>85</v>
      </c>
      <c r="J20" s="84" t="n">
        <f aca="false">I20/$I$33</f>
        <v>0.0186761581099376</v>
      </c>
      <c r="K20" s="83" t="s">
        <v>392</v>
      </c>
    </row>
    <row r="21" customFormat="false" ht="15" hidden="false" customHeight="true" outlineLevel="0" collapsed="false">
      <c r="B21" s="81" t="s">
        <v>393</v>
      </c>
      <c r="C21" s="82"/>
      <c r="D21" s="82"/>
      <c r="E21" s="82"/>
      <c r="F21" s="82"/>
      <c r="G21" s="82"/>
      <c r="H21" s="82"/>
      <c r="I21" s="82"/>
      <c r="J21" s="82"/>
      <c r="K21" s="82"/>
    </row>
    <row r="22" customFormat="false" ht="15" hidden="false" customHeight="true" outlineLevel="0" collapsed="false">
      <c r="B22" s="65" t="s">
        <v>394</v>
      </c>
      <c r="D22" s="71" t="n">
        <f aca="false">$I$22*0.5</f>
        <v>2.5</v>
      </c>
      <c r="E22" s="71" t="n">
        <f aca="false">$I$22*0.5</f>
        <v>2.5</v>
      </c>
      <c r="F22" s="74" t="n">
        <v>0</v>
      </c>
      <c r="G22" s="74" t="n">
        <v>0</v>
      </c>
      <c r="H22" s="74" t="n">
        <v>0</v>
      </c>
      <c r="I22" s="39" t="n">
        <v>5</v>
      </c>
      <c r="J22" s="75" t="n">
        <f aca="false">I22/$I$33</f>
        <v>0.00109859753587868</v>
      </c>
      <c r="K22" s="83" t="s">
        <v>395</v>
      </c>
    </row>
    <row r="23" customFormat="false" ht="15" hidden="false" customHeight="true" outlineLevel="0" collapsed="false">
      <c r="B23" s="65" t="s">
        <v>396</v>
      </c>
      <c r="D23" s="71" t="n">
        <f aca="false">$I$23*0.5</f>
        <v>2.5</v>
      </c>
      <c r="E23" s="71" t="n">
        <f aca="false">$I$23*0.5</f>
        <v>2.5</v>
      </c>
      <c r="F23" s="74" t="n">
        <v>0</v>
      </c>
      <c r="G23" s="74" t="n">
        <v>0</v>
      </c>
      <c r="H23" s="74" t="n">
        <v>0</v>
      </c>
      <c r="I23" s="39" t="n">
        <v>5</v>
      </c>
      <c r="J23" s="75" t="n">
        <f aca="false">I23/$I$33</f>
        <v>0.00109859753587868</v>
      </c>
      <c r="K23" s="83" t="s">
        <v>397</v>
      </c>
    </row>
    <row r="24" customFormat="false" ht="15" hidden="false" customHeight="true" outlineLevel="0" collapsed="false">
      <c r="B24" s="65" t="s">
        <v>398</v>
      </c>
      <c r="D24" s="71" t="n">
        <f aca="false">$I$24*1</f>
        <v>2.5</v>
      </c>
      <c r="E24" s="74" t="n">
        <v>0</v>
      </c>
      <c r="F24" s="74" t="n">
        <v>0</v>
      </c>
      <c r="G24" s="74" t="n">
        <v>0</v>
      </c>
      <c r="H24" s="74" t="n">
        <v>0</v>
      </c>
      <c r="I24" s="39" t="n">
        <v>2.5</v>
      </c>
      <c r="J24" s="75" t="n">
        <f aca="false">I24/$I$33</f>
        <v>0.000549298767939342</v>
      </c>
      <c r="K24" s="83" t="s">
        <v>399</v>
      </c>
    </row>
    <row r="25" customFormat="false" ht="15" hidden="false" customHeight="true" outlineLevel="0" collapsed="false">
      <c r="B25" s="65" t="s">
        <v>400</v>
      </c>
      <c r="D25" s="71" t="n">
        <f aca="false">$I$25*0.5</f>
        <v>1.5</v>
      </c>
      <c r="E25" s="71" t="n">
        <f aca="false">$I$25*0.5</f>
        <v>1.5</v>
      </c>
      <c r="F25" s="74" t="n">
        <v>0</v>
      </c>
      <c r="G25" s="74" t="n">
        <v>0</v>
      </c>
      <c r="H25" s="74" t="n">
        <v>0</v>
      </c>
      <c r="I25" s="39" t="n">
        <v>3</v>
      </c>
      <c r="J25" s="75" t="n">
        <f aca="false">I25/$I$33</f>
        <v>0.000659158521527211</v>
      </c>
      <c r="K25" s="83"/>
    </row>
    <row r="26" customFormat="false" ht="15" hidden="false" customHeight="true" outlineLevel="0" collapsed="false">
      <c r="B26" s="65" t="s">
        <v>401</v>
      </c>
      <c r="D26" s="71" t="n">
        <f aca="false">$I$26*0.6</f>
        <v>0.72</v>
      </c>
      <c r="E26" s="71" t="n">
        <f aca="false">$I$26*0.4</f>
        <v>0.48</v>
      </c>
      <c r="F26" s="74" t="n">
        <v>0</v>
      </c>
      <c r="G26" s="74" t="n">
        <v>0</v>
      </c>
      <c r="H26" s="74" t="n">
        <v>0</v>
      </c>
      <c r="I26" s="39" t="n">
        <v>1.2</v>
      </c>
      <c r="J26" s="75" t="n">
        <f aca="false">I26/$I$33</f>
        <v>0.000263663408610884</v>
      </c>
      <c r="K26" s="83"/>
    </row>
    <row r="27" customFormat="false" ht="15" hidden="false" customHeight="true" outlineLevel="0" collapsed="false">
      <c r="B27" s="65" t="s">
        <v>402</v>
      </c>
      <c r="D27" s="71" t="n">
        <f aca="false">$I$27*0.4</f>
        <v>2.4</v>
      </c>
      <c r="E27" s="71" t="n">
        <f aca="false">$I$27*0.3</f>
        <v>1.8</v>
      </c>
      <c r="F27" s="71" t="n">
        <f aca="false">$I$27*0.3</f>
        <v>1.8</v>
      </c>
      <c r="G27" s="74" t="n">
        <v>0</v>
      </c>
      <c r="H27" s="74" t="n">
        <v>0</v>
      </c>
      <c r="I27" s="39" t="n">
        <v>6</v>
      </c>
      <c r="J27" s="75" t="n">
        <f aca="false">I27/$I$33</f>
        <v>0.00131831704305442</v>
      </c>
      <c r="K27" s="83" t="s">
        <v>403</v>
      </c>
    </row>
    <row r="28" customFormat="false" ht="15" hidden="false" customHeight="true" outlineLevel="0" collapsed="false">
      <c r="B28" s="65" t="s">
        <v>404</v>
      </c>
      <c r="D28" s="71" t="n">
        <f aca="false">$I$28*0.5</f>
        <v>1.45</v>
      </c>
      <c r="E28" s="71" t="n">
        <f aca="false">$I$28*0.5</f>
        <v>1.45</v>
      </c>
      <c r="F28" s="74" t="n">
        <v>0</v>
      </c>
      <c r="G28" s="74" t="n">
        <v>0</v>
      </c>
      <c r="H28" s="74" t="n">
        <v>0</v>
      </c>
      <c r="I28" s="39" t="n">
        <v>2.9</v>
      </c>
      <c r="J28" s="75" t="n">
        <f aca="false">I28/$I$33</f>
        <v>0.000637186570809637</v>
      </c>
      <c r="K28" s="83"/>
    </row>
    <row r="30" customFormat="false" ht="15" hidden="false" customHeight="true" outlineLevel="0" collapsed="false">
      <c r="B30" s="35" t="s">
        <v>405</v>
      </c>
      <c r="D30" s="71" t="n">
        <f aca="false">$I$30*0.2</f>
        <v>30.78145</v>
      </c>
      <c r="E30" s="71" t="n">
        <f aca="false">$I$30*0.25</f>
        <v>38.4768125</v>
      </c>
      <c r="F30" s="71" t="n">
        <f aca="false">$I$30*0.2</f>
        <v>30.78145</v>
      </c>
      <c r="G30" s="71" t="n">
        <f aca="false">$I$30*0.2</f>
        <v>30.78145</v>
      </c>
      <c r="H30" s="71" t="n">
        <f aca="false">$I$30*0.15</f>
        <v>23.0860875</v>
      </c>
      <c r="I30" s="71" t="n">
        <f aca="false">(I12+I14+I16+I17+I19+I20+SUM(I22:I28))*0.035</f>
        <v>153.90725</v>
      </c>
      <c r="J30" s="84" t="n">
        <f aca="false">I30/$I$33</f>
        <v>0.033816425120773</v>
      </c>
      <c r="K30" s="83" t="s">
        <v>406</v>
      </c>
    </row>
    <row r="32" customFormat="false" ht="15" hidden="false" customHeight="true" outlineLevel="0" collapsed="false">
      <c r="B32" s="85" t="s">
        <v>407</v>
      </c>
      <c r="D32" s="86" t="n">
        <f aca="false">SUM(D7:D11)+D14+D16+D17+D19+D20+SUM(D22:D28)+D30</f>
        <v>315.64645</v>
      </c>
      <c r="E32" s="86" t="n">
        <f aca="false">SUM(E7:E11)+E14+E16+E17+E19+E20+SUM(E22:E28)+E30</f>
        <v>972.7668125</v>
      </c>
      <c r="F32" s="86" t="n">
        <f aca="false">SUM(F7:F11)+F14+F16+F17+F19+F20+SUM(F22:F28)+F30</f>
        <v>1125.97645</v>
      </c>
      <c r="G32" s="86" t="n">
        <f aca="false">SUM(G7:G11)+G14+G16+G17+G19+G20+SUM(G22:G28)+G30</f>
        <v>1351.28145</v>
      </c>
      <c r="H32" s="86" t="n">
        <f aca="false">SUM(H7:H11)+H14+H16+H17+H19+H20+SUM(H22:H28)+H30</f>
        <v>785.5860875</v>
      </c>
      <c r="I32" s="86" t="n">
        <f aca="false">SUM(I7:I11)+I14+I16+I17+I19+I20+SUM(I22:I28)+I30</f>
        <v>4551.25725</v>
      </c>
      <c r="J32" s="87" t="n">
        <f aca="false">I32/$I$33</f>
        <v>1</v>
      </c>
      <c r="K32" s="88"/>
    </row>
    <row r="33" customFormat="false" ht="25.5" hidden="false" customHeight="true" outlineLevel="0" collapsed="false">
      <c r="B33" s="89" t="s">
        <v>408</v>
      </c>
      <c r="D33" s="90" t="n">
        <f aca="false">D32*'02_Assumptions'!$D$83</f>
        <v>315.64645</v>
      </c>
      <c r="E33" s="90" t="n">
        <f aca="false">E32*'02_Assumptions'!$D$83</f>
        <v>972.7668125</v>
      </c>
      <c r="F33" s="90" t="n">
        <f aca="false">F32*'02_Assumptions'!$D$83</f>
        <v>1125.97645</v>
      </c>
      <c r="G33" s="90" t="n">
        <f aca="false">G32*'02_Assumptions'!$D$83</f>
        <v>1351.28145</v>
      </c>
      <c r="H33" s="90" t="n">
        <f aca="false">H32*'02_Assumptions'!$D$83</f>
        <v>785.5860875</v>
      </c>
      <c r="I33" s="90" t="n">
        <f aca="false">I32*'02_Assumptions'!$D$83</f>
        <v>4551.25725</v>
      </c>
      <c r="J33" s="91" t="s">
        <v>409</v>
      </c>
      <c r="K33" s="92" t="s">
        <v>410</v>
      </c>
    </row>
    <row r="35" customFormat="false" ht="15" hidden="false" customHeight="true" outlineLevel="0" collapsed="false">
      <c r="B35" s="35" t="s">
        <v>411</v>
      </c>
      <c r="D35" s="71" t="n">
        <f aca="false">D33</f>
        <v>315.64645</v>
      </c>
      <c r="E35" s="71" t="n">
        <f aca="false">D35+E33</f>
        <v>1288.4132625</v>
      </c>
      <c r="F35" s="71" t="n">
        <f aca="false">E35+F33</f>
        <v>2414.3897125</v>
      </c>
      <c r="G35" s="71" t="n">
        <f aca="false">F35+G33</f>
        <v>3765.6711625</v>
      </c>
      <c r="H35" s="71" t="n">
        <f aca="false">G35+H33</f>
        <v>4551.25725</v>
      </c>
      <c r="I35" s="40" t="n">
        <f aca="false">H35</f>
        <v>4551.25725</v>
      </c>
    </row>
  </sheetData>
  <mergeCells count="3">
    <mergeCell ref="B2:K2"/>
    <mergeCell ref="B3:K3"/>
    <mergeCell ref="B5:J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AG2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7" topLeftCell="D8" activePane="bottomRight" state="frozen"/>
      <selection pane="topLeft" activeCell="A1" activeCellId="0" sqref="A1"/>
      <selection pane="topRight" activeCell="D1" activeCellId="0" sqref="D1"/>
      <selection pane="bottomLeft" activeCell="A8" activeCellId="0" sqref="A8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0"/>
    <col collapsed="false" customWidth="true" hidden="false" outlineLevel="0" max="3" min="3" style="1" width="12"/>
    <col collapsed="false" customWidth="true" hidden="false" outlineLevel="0" max="33" min="4" style="1" width="11"/>
  </cols>
  <sheetData>
    <row r="2" customFormat="false" ht="24" hidden="false" customHeight="true" outlineLevel="0" collapsed="false">
      <c r="B2" s="93" t="s">
        <v>412</v>
      </c>
    </row>
    <row r="3" customFormat="false" ht="15" hidden="false" customHeight="true" outlineLevel="0" collapsed="false">
      <c r="B3" s="94" t="s">
        <v>413</v>
      </c>
    </row>
    <row r="5" customFormat="false" ht="21.75" hidden="false" customHeight="true" outlineLevel="0" collapsed="false">
      <c r="B5" s="56" t="s">
        <v>414</v>
      </c>
      <c r="C5" s="57" t="s">
        <v>284</v>
      </c>
      <c r="D5" s="58" t="s">
        <v>285</v>
      </c>
      <c r="E5" s="58" t="s">
        <v>286</v>
      </c>
      <c r="F5" s="58" t="s">
        <v>287</v>
      </c>
      <c r="G5" s="58" t="s">
        <v>288</v>
      </c>
      <c r="H5" s="58" t="s">
        <v>289</v>
      </c>
      <c r="I5" s="58" t="s">
        <v>290</v>
      </c>
      <c r="J5" s="58" t="s">
        <v>291</v>
      </c>
      <c r="K5" s="58" t="s">
        <v>292</v>
      </c>
      <c r="L5" s="58" t="s">
        <v>293</v>
      </c>
      <c r="M5" s="58" t="s">
        <v>294</v>
      </c>
      <c r="N5" s="58" t="s">
        <v>295</v>
      </c>
      <c r="O5" s="58" t="s">
        <v>296</v>
      </c>
      <c r="P5" s="58" t="s">
        <v>297</v>
      </c>
      <c r="Q5" s="58" t="s">
        <v>298</v>
      </c>
      <c r="R5" s="58" t="s">
        <v>299</v>
      </c>
      <c r="S5" s="58" t="s">
        <v>300</v>
      </c>
      <c r="T5" s="58" t="s">
        <v>301</v>
      </c>
      <c r="U5" s="58" t="s">
        <v>302</v>
      </c>
      <c r="V5" s="58" t="s">
        <v>303</v>
      </c>
      <c r="W5" s="58" t="s">
        <v>304</v>
      </c>
      <c r="X5" s="58" t="s">
        <v>305</v>
      </c>
      <c r="Y5" s="58" t="s">
        <v>306</v>
      </c>
      <c r="Z5" s="58" t="s">
        <v>307</v>
      </c>
      <c r="AA5" s="58" t="s">
        <v>308</v>
      </c>
      <c r="AB5" s="58" t="s">
        <v>309</v>
      </c>
      <c r="AC5" s="58" t="s">
        <v>310</v>
      </c>
      <c r="AD5" s="58" t="s">
        <v>311</v>
      </c>
      <c r="AE5" s="58" t="s">
        <v>312</v>
      </c>
      <c r="AF5" s="58" t="s">
        <v>313</v>
      </c>
      <c r="AG5" s="58" t="s">
        <v>314</v>
      </c>
    </row>
    <row r="6" customFormat="false" ht="15" hidden="false" customHeight="true" outlineLevel="0" collapsed="false">
      <c r="D6" s="59" t="s">
        <v>315</v>
      </c>
      <c r="E6" s="59" t="s">
        <v>316</v>
      </c>
      <c r="F6" s="59" t="s">
        <v>317</v>
      </c>
      <c r="G6" s="59" t="s">
        <v>318</v>
      </c>
      <c r="H6" s="59" t="s">
        <v>319</v>
      </c>
      <c r="I6" s="59" t="s">
        <v>320</v>
      </c>
      <c r="J6" s="59" t="s">
        <v>321</v>
      </c>
      <c r="K6" s="59" t="s">
        <v>322</v>
      </c>
      <c r="L6" s="59" t="s">
        <v>323</v>
      </c>
      <c r="M6" s="59" t="s">
        <v>324</v>
      </c>
      <c r="N6" s="59" t="s">
        <v>325</v>
      </c>
      <c r="O6" s="59" t="s">
        <v>326</v>
      </c>
      <c r="P6" s="59" t="s">
        <v>327</v>
      </c>
      <c r="Q6" s="59" t="s">
        <v>328</v>
      </c>
      <c r="R6" s="59" t="s">
        <v>329</v>
      </c>
      <c r="S6" s="59" t="s">
        <v>330</v>
      </c>
      <c r="T6" s="59" t="s">
        <v>331</v>
      </c>
      <c r="U6" s="59" t="s">
        <v>332</v>
      </c>
      <c r="V6" s="59" t="s">
        <v>333</v>
      </c>
      <c r="W6" s="59" t="s">
        <v>334</v>
      </c>
      <c r="X6" s="59" t="s">
        <v>335</v>
      </c>
      <c r="Y6" s="59" t="s">
        <v>336</v>
      </c>
      <c r="Z6" s="59" t="s">
        <v>337</v>
      </c>
      <c r="AA6" s="59" t="s">
        <v>338</v>
      </c>
      <c r="AB6" s="59" t="s">
        <v>339</v>
      </c>
      <c r="AC6" s="59" t="s">
        <v>340</v>
      </c>
      <c r="AD6" s="59" t="s">
        <v>341</v>
      </c>
      <c r="AE6" s="59" t="s">
        <v>342</v>
      </c>
      <c r="AF6" s="59" t="s">
        <v>343</v>
      </c>
      <c r="AG6" s="59" t="s">
        <v>344</v>
      </c>
    </row>
    <row r="7" customFormat="false" ht="15" hidden="false" customHeight="true" outlineLevel="0" collapsed="false">
      <c r="B7" s="36" t="s">
        <v>345</v>
      </c>
      <c r="D7" s="60" t="n">
        <v>1</v>
      </c>
      <c r="E7" s="60" t="n">
        <v>2</v>
      </c>
      <c r="F7" s="60" t="n">
        <v>3</v>
      </c>
      <c r="G7" s="60" t="n">
        <v>4</v>
      </c>
      <c r="H7" s="60" t="n">
        <v>5</v>
      </c>
      <c r="I7" s="60" t="n">
        <v>6</v>
      </c>
      <c r="J7" s="60" t="n">
        <v>7</v>
      </c>
      <c r="K7" s="60" t="n">
        <v>8</v>
      </c>
      <c r="L7" s="60" t="n">
        <v>9</v>
      </c>
      <c r="M7" s="60" t="n">
        <v>10</v>
      </c>
      <c r="N7" s="60" t="n">
        <v>11</v>
      </c>
      <c r="O7" s="60" t="n">
        <v>12</v>
      </c>
      <c r="P7" s="60" t="n">
        <v>13</v>
      </c>
      <c r="Q7" s="60" t="n">
        <v>14</v>
      </c>
      <c r="R7" s="60" t="n">
        <v>15</v>
      </c>
      <c r="S7" s="60" t="n">
        <v>16</v>
      </c>
      <c r="T7" s="60" t="n">
        <v>17</v>
      </c>
      <c r="U7" s="60" t="n">
        <v>18</v>
      </c>
      <c r="V7" s="60" t="n">
        <v>19</v>
      </c>
      <c r="W7" s="60" t="n">
        <v>20</v>
      </c>
      <c r="X7" s="60" t="n">
        <v>21</v>
      </c>
      <c r="Y7" s="60" t="n">
        <v>22</v>
      </c>
      <c r="Z7" s="60" t="n">
        <v>23</v>
      </c>
      <c r="AA7" s="60" t="n">
        <v>24</v>
      </c>
      <c r="AB7" s="60" t="n">
        <v>25</v>
      </c>
      <c r="AC7" s="60" t="n">
        <v>26</v>
      </c>
      <c r="AD7" s="60" t="n">
        <v>27</v>
      </c>
      <c r="AE7" s="60" t="n">
        <v>28</v>
      </c>
      <c r="AF7" s="60" t="n">
        <v>29</v>
      </c>
      <c r="AG7" s="60" t="n">
        <v>30</v>
      </c>
    </row>
    <row r="9" customFormat="false" ht="21.75" hidden="false" customHeight="true" outlineLevel="0" collapsed="false">
      <c r="B9" s="61" t="s">
        <v>415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  <row r="10" customFormat="false" ht="15" hidden="false" customHeight="true" outlineLevel="0" collapsed="false">
      <c r="B10" s="65" t="s">
        <v>199</v>
      </c>
      <c r="C10" s="63" t="s">
        <v>351</v>
      </c>
      <c r="D10" s="66" t="n">
        <f aca="false">('02_Assumptions'!$D$9+IF(D$7&gt;=3,'02_Assumptions'!$E$9,0))*1000*'02_Assumptions'!$D$53*POWER(1+'02_Assumptions'!$E$53,D$7-1)/1000000</f>
        <v>9.6</v>
      </c>
      <c r="E10" s="66" t="n">
        <f aca="false">('02_Assumptions'!$D$9+IF(E$7&gt;=3,'02_Assumptions'!$E$9,0))*1000*'02_Assumptions'!$D$53*POWER(1+'02_Assumptions'!$E$53,E$7-1)/1000000</f>
        <v>9.792</v>
      </c>
      <c r="F10" s="66" t="n">
        <f aca="false">('02_Assumptions'!$D$9+IF(F$7&gt;=3,'02_Assumptions'!$E$9,0))*1000*'02_Assumptions'!$D$53*POWER(1+'02_Assumptions'!$E$53,F$7-1)/1000000</f>
        <v>24.9696</v>
      </c>
      <c r="G10" s="66" t="n">
        <f aca="false">('02_Assumptions'!$D$9+IF(G$7&gt;=3,'02_Assumptions'!$E$9,0))*1000*'02_Assumptions'!$D$53*POWER(1+'02_Assumptions'!$E$53,G$7-1)/1000000</f>
        <v>25.468992</v>
      </c>
      <c r="H10" s="66" t="n">
        <f aca="false">('02_Assumptions'!$D$9+IF(H$7&gt;=3,'02_Assumptions'!$E$9,0))*1000*'02_Assumptions'!$D$53*POWER(1+'02_Assumptions'!$E$53,H$7-1)/1000000</f>
        <v>25.97837184</v>
      </c>
      <c r="I10" s="66" t="n">
        <f aca="false">('02_Assumptions'!$D$9+IF(I$7&gt;=3,'02_Assumptions'!$E$9,0))*1000*'02_Assumptions'!$D$53*POWER(1+'02_Assumptions'!$E$53,I$7-1)/1000000</f>
        <v>26.4979392768</v>
      </c>
      <c r="J10" s="66" t="n">
        <f aca="false">('02_Assumptions'!$D$9+IF(J$7&gt;=3,'02_Assumptions'!$E$9,0))*1000*'02_Assumptions'!$D$53*POWER(1+'02_Assumptions'!$E$53,J$7-1)/1000000</f>
        <v>27.027898062336</v>
      </c>
      <c r="K10" s="66" t="n">
        <f aca="false">('02_Assumptions'!$D$9+IF(K$7&gt;=3,'02_Assumptions'!$E$9,0))*1000*'02_Assumptions'!$D$53*POWER(1+'02_Assumptions'!$E$53,K$7-1)/1000000</f>
        <v>27.5684560235827</v>
      </c>
      <c r="L10" s="66" t="n">
        <f aca="false">('02_Assumptions'!$D$9+IF(L$7&gt;=3,'02_Assumptions'!$E$9,0))*1000*'02_Assumptions'!$D$53*POWER(1+'02_Assumptions'!$E$53,L$7-1)/1000000</f>
        <v>28.1198251440544</v>
      </c>
      <c r="M10" s="66" t="n">
        <f aca="false">('02_Assumptions'!$D$9+IF(M$7&gt;=3,'02_Assumptions'!$E$9,0))*1000*'02_Assumptions'!$D$53*POWER(1+'02_Assumptions'!$E$53,M$7-1)/1000000</f>
        <v>28.6822216469355</v>
      </c>
      <c r="N10" s="66" t="n">
        <f aca="false">('02_Assumptions'!$D$9+IF(N$7&gt;=3,'02_Assumptions'!$E$9,0))*1000*'02_Assumptions'!$D$53*POWER(1+'02_Assumptions'!$E$53,N$7-1)/1000000</f>
        <v>29.2558660798742</v>
      </c>
      <c r="O10" s="66" t="n">
        <f aca="false">('02_Assumptions'!$D$9+IF(O$7&gt;=3,'02_Assumptions'!$E$9,0))*1000*'02_Assumptions'!$D$53*POWER(1+'02_Assumptions'!$E$53,O$7-1)/1000000</f>
        <v>29.8409834014717</v>
      </c>
      <c r="P10" s="66" t="n">
        <f aca="false">('02_Assumptions'!$D$9+IF(P$7&gt;=3,'02_Assumptions'!$E$9,0))*1000*'02_Assumptions'!$D$53*POWER(1+'02_Assumptions'!$E$53,P$7-1)/1000000</f>
        <v>30.4378030695011</v>
      </c>
      <c r="Q10" s="66" t="n">
        <f aca="false">('02_Assumptions'!$D$9+IF(Q$7&gt;=3,'02_Assumptions'!$E$9,0))*1000*'02_Assumptions'!$D$53*POWER(1+'02_Assumptions'!$E$53,Q$7-1)/1000000</f>
        <v>31.0465591308911</v>
      </c>
      <c r="R10" s="66" t="n">
        <f aca="false">('02_Assumptions'!$D$9+IF(R$7&gt;=3,'02_Assumptions'!$E$9,0))*1000*'02_Assumptions'!$D$53*POWER(1+'02_Assumptions'!$E$53,R$7-1)/1000000</f>
        <v>31.6674903135089</v>
      </c>
      <c r="S10" s="66" t="n">
        <f aca="false">('02_Assumptions'!$D$9+IF(S$7&gt;=3,'02_Assumptions'!$E$9,0))*1000*'02_Assumptions'!$D$53*POWER(1+'02_Assumptions'!$E$53,S$7-1)/1000000</f>
        <v>32.3008401197791</v>
      </c>
      <c r="T10" s="66" t="n">
        <f aca="false">('02_Assumptions'!$D$9+IF(T$7&gt;=3,'02_Assumptions'!$E$9,0))*1000*'02_Assumptions'!$D$53*POWER(1+'02_Assumptions'!$E$53,T$7-1)/1000000</f>
        <v>32.9468569221747</v>
      </c>
      <c r="U10" s="66" t="n">
        <f aca="false">('02_Assumptions'!$D$9+IF(U$7&gt;=3,'02_Assumptions'!$E$9,0))*1000*'02_Assumptions'!$D$53*POWER(1+'02_Assumptions'!$E$53,U$7-1)/1000000</f>
        <v>33.6057940606182</v>
      </c>
      <c r="V10" s="66" t="n">
        <f aca="false">('02_Assumptions'!$D$9+IF(V$7&gt;=3,'02_Assumptions'!$E$9,0))*1000*'02_Assumptions'!$D$53*POWER(1+'02_Assumptions'!$E$53,V$7-1)/1000000</f>
        <v>34.2779099418306</v>
      </c>
      <c r="W10" s="66" t="n">
        <f aca="false">('02_Assumptions'!$D$9+IF(W$7&gt;=3,'02_Assumptions'!$E$9,0))*1000*'02_Assumptions'!$D$53*POWER(1+'02_Assumptions'!$E$53,W$7-1)/1000000</f>
        <v>34.9634681406672</v>
      </c>
      <c r="X10" s="66" t="n">
        <f aca="false">('02_Assumptions'!$D$9+IF(X$7&gt;=3,'02_Assumptions'!$E$9,0))*1000*'02_Assumptions'!$D$53*POWER(1+'02_Assumptions'!$E$53,X$7-1)/1000000</f>
        <v>35.6627375034805</v>
      </c>
      <c r="Y10" s="66" t="n">
        <f aca="false">('02_Assumptions'!$D$9+IF(Y$7&gt;=3,'02_Assumptions'!$E$9,0))*1000*'02_Assumptions'!$D$53*POWER(1+'02_Assumptions'!$E$53,Y$7-1)/1000000</f>
        <v>36.3759922535501</v>
      </c>
      <c r="Z10" s="66" t="n">
        <f aca="false">('02_Assumptions'!$D$9+IF(Z$7&gt;=3,'02_Assumptions'!$E$9,0))*1000*'02_Assumptions'!$D$53*POWER(1+'02_Assumptions'!$E$53,Z$7-1)/1000000</f>
        <v>37.1035120986211</v>
      </c>
      <c r="AA10" s="66" t="n">
        <f aca="false">('02_Assumptions'!$D$9+IF(AA$7&gt;=3,'02_Assumptions'!$E$9,0))*1000*'02_Assumptions'!$D$53*POWER(1+'02_Assumptions'!$E$53,AA$7-1)/1000000</f>
        <v>37.8455823405936</v>
      </c>
      <c r="AB10" s="66" t="n">
        <f aca="false">('02_Assumptions'!$D$9+IF(AB$7&gt;=3,'02_Assumptions'!$E$9,0))*1000*'02_Assumptions'!$D$53*POWER(1+'02_Assumptions'!$E$53,AB$7-1)/1000000</f>
        <v>38.6024939874054</v>
      </c>
      <c r="AC10" s="66" t="n">
        <f aca="false">('02_Assumptions'!$D$9+IF(AC$7&gt;=3,'02_Assumptions'!$E$9,0))*1000*'02_Assumptions'!$D$53*POWER(1+'02_Assumptions'!$E$53,AC$7-1)/1000000</f>
        <v>39.3745438671535</v>
      </c>
      <c r="AD10" s="66" t="n">
        <f aca="false">('02_Assumptions'!$D$9+IF(AD$7&gt;=3,'02_Assumptions'!$E$9,0))*1000*'02_Assumptions'!$D$53*POWER(1+'02_Assumptions'!$E$53,AD$7-1)/1000000</f>
        <v>40.1620347444966</v>
      </c>
      <c r="AE10" s="66" t="n">
        <f aca="false">('02_Assumptions'!$D$9+IF(AE$7&gt;=3,'02_Assumptions'!$E$9,0))*1000*'02_Assumptions'!$D$53*POWER(1+'02_Assumptions'!$E$53,AE$7-1)/1000000</f>
        <v>40.9652754393865</v>
      </c>
      <c r="AF10" s="66" t="n">
        <f aca="false">('02_Assumptions'!$D$9+IF(AF$7&gt;=3,'02_Assumptions'!$E$9,0))*1000*'02_Assumptions'!$D$53*POWER(1+'02_Assumptions'!$E$53,AF$7-1)/1000000</f>
        <v>41.7845809481743</v>
      </c>
      <c r="AG10" s="66" t="n">
        <f aca="false">('02_Assumptions'!$D$9+IF(AG$7&gt;=3,'02_Assumptions'!$E$9,0))*1000*'02_Assumptions'!$D$53*POWER(1+'02_Assumptions'!$E$53,AG$7-1)/1000000</f>
        <v>42.6202725671378</v>
      </c>
    </row>
    <row r="11" customFormat="false" ht="15" hidden="false" customHeight="true" outlineLevel="0" collapsed="false">
      <c r="B11" s="65" t="s">
        <v>205</v>
      </c>
      <c r="C11" s="63" t="s">
        <v>351</v>
      </c>
      <c r="D11" s="66" t="n">
        <f aca="false">IF(D$7&gt;=3,'02_Assumptions'!$E$15*1000*'02_Assumptions'!$D$55*POWER(1+'02_Assumptions'!$E$55,D$7-3),0)/1000000</f>
        <v>0</v>
      </c>
      <c r="E11" s="66" t="n">
        <f aca="false">IF(E$7&gt;=3,'02_Assumptions'!$E$15*1000*'02_Assumptions'!$D$55*POWER(1+'02_Assumptions'!$E$55,E$7-3),0)/1000000</f>
        <v>0</v>
      </c>
      <c r="F11" s="66" t="n">
        <f aca="false">IF(F$7&gt;=3,'02_Assumptions'!$E$15*1000*'02_Assumptions'!$D$55*POWER(1+'02_Assumptions'!$E$55,F$7-3),0)/1000000</f>
        <v>1.6</v>
      </c>
      <c r="G11" s="66" t="n">
        <f aca="false">IF(G$7&gt;=3,'02_Assumptions'!$E$15*1000*'02_Assumptions'!$D$55*POWER(1+'02_Assumptions'!$E$55,G$7-3),0)/1000000</f>
        <v>1.632</v>
      </c>
      <c r="H11" s="66" t="n">
        <f aca="false">IF(H$7&gt;=3,'02_Assumptions'!$E$15*1000*'02_Assumptions'!$D$55*POWER(1+'02_Assumptions'!$E$55,H$7-3),0)/1000000</f>
        <v>1.66464</v>
      </c>
      <c r="I11" s="66" t="n">
        <f aca="false">IF(I$7&gt;=3,'02_Assumptions'!$E$15*1000*'02_Assumptions'!$D$55*POWER(1+'02_Assumptions'!$E$55,I$7-3),0)/1000000</f>
        <v>1.6979328</v>
      </c>
      <c r="J11" s="66" t="n">
        <f aca="false">IF(J$7&gt;=3,'02_Assumptions'!$E$15*1000*'02_Assumptions'!$D$55*POWER(1+'02_Assumptions'!$E$55,J$7-3),0)/1000000</f>
        <v>1.731891456</v>
      </c>
      <c r="K11" s="66" t="n">
        <f aca="false">IF(K$7&gt;=3,'02_Assumptions'!$E$15*1000*'02_Assumptions'!$D$55*POWER(1+'02_Assumptions'!$E$55,K$7-3),0)/1000000</f>
        <v>1.76652928512</v>
      </c>
      <c r="L11" s="66" t="n">
        <f aca="false">IF(L$7&gt;=3,'02_Assumptions'!$E$15*1000*'02_Assumptions'!$D$55*POWER(1+'02_Assumptions'!$E$55,L$7-3),0)/1000000</f>
        <v>1.8018598708224</v>
      </c>
      <c r="M11" s="66" t="n">
        <f aca="false">IF(M$7&gt;=3,'02_Assumptions'!$E$15*1000*'02_Assumptions'!$D$55*POWER(1+'02_Assumptions'!$E$55,M$7-3),0)/1000000</f>
        <v>1.83789706823885</v>
      </c>
      <c r="N11" s="66" t="n">
        <f aca="false">IF(N$7&gt;=3,'02_Assumptions'!$E$15*1000*'02_Assumptions'!$D$55*POWER(1+'02_Assumptions'!$E$55,N$7-3),0)/1000000</f>
        <v>1.87465500960363</v>
      </c>
      <c r="O11" s="66" t="n">
        <f aca="false">IF(O$7&gt;=3,'02_Assumptions'!$E$15*1000*'02_Assumptions'!$D$55*POWER(1+'02_Assumptions'!$E$55,O$7-3),0)/1000000</f>
        <v>1.9121481097957</v>
      </c>
      <c r="P11" s="66" t="n">
        <f aca="false">IF(P$7&gt;=3,'02_Assumptions'!$E$15*1000*'02_Assumptions'!$D$55*POWER(1+'02_Assumptions'!$E$55,P$7-3),0)/1000000</f>
        <v>1.95039107199161</v>
      </c>
      <c r="Q11" s="66" t="n">
        <f aca="false">IF(Q$7&gt;=3,'02_Assumptions'!$E$15*1000*'02_Assumptions'!$D$55*POWER(1+'02_Assumptions'!$E$55,Q$7-3),0)/1000000</f>
        <v>1.98939889343144</v>
      </c>
      <c r="R11" s="66" t="n">
        <f aca="false">IF(R$7&gt;=3,'02_Assumptions'!$E$15*1000*'02_Assumptions'!$D$55*POWER(1+'02_Assumptions'!$E$55,R$7-3),0)/1000000</f>
        <v>2.02918687130007</v>
      </c>
      <c r="S11" s="66" t="n">
        <f aca="false">IF(S$7&gt;=3,'02_Assumptions'!$E$15*1000*'02_Assumptions'!$D$55*POWER(1+'02_Assumptions'!$E$55,S$7-3),0)/1000000</f>
        <v>2.06977060872607</v>
      </c>
      <c r="T11" s="66" t="n">
        <f aca="false">IF(T$7&gt;=3,'02_Assumptions'!$E$15*1000*'02_Assumptions'!$D$55*POWER(1+'02_Assumptions'!$E$55,T$7-3),0)/1000000</f>
        <v>2.1111660209006</v>
      </c>
      <c r="U11" s="66" t="n">
        <f aca="false">IF(U$7&gt;=3,'02_Assumptions'!$E$15*1000*'02_Assumptions'!$D$55*POWER(1+'02_Assumptions'!$E$55,U$7-3),0)/1000000</f>
        <v>2.15338934131861</v>
      </c>
      <c r="V11" s="66" t="n">
        <f aca="false">IF(V$7&gt;=3,'02_Assumptions'!$E$15*1000*'02_Assumptions'!$D$55*POWER(1+'02_Assumptions'!$E$55,V$7-3),0)/1000000</f>
        <v>2.19645712814498</v>
      </c>
      <c r="W11" s="66" t="n">
        <f aca="false">IF(W$7&gt;=3,'02_Assumptions'!$E$15*1000*'02_Assumptions'!$D$55*POWER(1+'02_Assumptions'!$E$55,W$7-3),0)/1000000</f>
        <v>2.24038627070788</v>
      </c>
      <c r="X11" s="66" t="n">
        <f aca="false">IF(X$7&gt;=3,'02_Assumptions'!$E$15*1000*'02_Assumptions'!$D$55*POWER(1+'02_Assumptions'!$E$55,X$7-3),0)/1000000</f>
        <v>2.28519399612204</v>
      </c>
      <c r="Y11" s="66" t="n">
        <f aca="false">IF(Y$7&gt;=3,'02_Assumptions'!$E$15*1000*'02_Assumptions'!$D$55*POWER(1+'02_Assumptions'!$E$55,Y$7-3),0)/1000000</f>
        <v>2.33089787604448</v>
      </c>
      <c r="Z11" s="66" t="n">
        <f aca="false">IF(Z$7&gt;=3,'02_Assumptions'!$E$15*1000*'02_Assumptions'!$D$55*POWER(1+'02_Assumptions'!$E$55,Z$7-3),0)/1000000</f>
        <v>2.37751583356537</v>
      </c>
      <c r="AA11" s="66" t="n">
        <f aca="false">IF(AA$7&gt;=3,'02_Assumptions'!$E$15*1000*'02_Assumptions'!$D$55*POWER(1+'02_Assumptions'!$E$55,AA$7-3),0)/1000000</f>
        <v>2.42506615023668</v>
      </c>
      <c r="AB11" s="66" t="n">
        <f aca="false">IF(AB$7&gt;=3,'02_Assumptions'!$E$15*1000*'02_Assumptions'!$D$55*POWER(1+'02_Assumptions'!$E$55,AB$7-3),0)/1000000</f>
        <v>2.47356747324141</v>
      </c>
      <c r="AC11" s="66" t="n">
        <f aca="false">IF(AC$7&gt;=3,'02_Assumptions'!$E$15*1000*'02_Assumptions'!$D$55*POWER(1+'02_Assumptions'!$E$55,AC$7-3),0)/1000000</f>
        <v>2.52303882270624</v>
      </c>
      <c r="AD11" s="66" t="n">
        <f aca="false">IF(AD$7&gt;=3,'02_Assumptions'!$E$15*1000*'02_Assumptions'!$D$55*POWER(1+'02_Assumptions'!$E$55,AD$7-3),0)/1000000</f>
        <v>2.57349959916036</v>
      </c>
      <c r="AE11" s="66" t="n">
        <f aca="false">IF(AE$7&gt;=3,'02_Assumptions'!$E$15*1000*'02_Assumptions'!$D$55*POWER(1+'02_Assumptions'!$E$55,AE$7-3),0)/1000000</f>
        <v>2.62496959114357</v>
      </c>
      <c r="AF11" s="66" t="n">
        <f aca="false">IF(AF$7&gt;=3,'02_Assumptions'!$E$15*1000*'02_Assumptions'!$D$55*POWER(1+'02_Assumptions'!$E$55,AF$7-3),0)/1000000</f>
        <v>2.67746898296644</v>
      </c>
      <c r="AG11" s="66" t="n">
        <f aca="false">IF(AG$7&gt;=3,'02_Assumptions'!$E$15*1000*'02_Assumptions'!$D$55*POWER(1+'02_Assumptions'!$E$55,AG$7-3),0)/1000000</f>
        <v>2.73101836262577</v>
      </c>
    </row>
    <row r="12" customFormat="false" ht="15" hidden="false" customHeight="true" outlineLevel="0" collapsed="false">
      <c r="B12" s="65" t="s">
        <v>207</v>
      </c>
      <c r="C12" s="63" t="s">
        <v>351</v>
      </c>
      <c r="D12" s="66" t="n">
        <f aca="false">IF(D$7&gt;=3,'02_Assumptions'!$E$19*1000*'02_Assumptions'!$D$56*POWER(1+'02_Assumptions'!$E$56,D$7-3),0)/1000000</f>
        <v>0</v>
      </c>
      <c r="E12" s="66" t="n">
        <f aca="false">IF(E$7&gt;=3,'02_Assumptions'!$E$19*1000*'02_Assumptions'!$D$56*POWER(1+'02_Assumptions'!$E$56,E$7-3),0)/1000000</f>
        <v>0</v>
      </c>
      <c r="F12" s="66" t="n">
        <f aca="false">IF(F$7&gt;=3,'02_Assumptions'!$E$19*1000*'02_Assumptions'!$D$56*POWER(1+'02_Assumptions'!$E$56,F$7-3),0)/1000000</f>
        <v>77</v>
      </c>
      <c r="G12" s="66" t="n">
        <f aca="false">IF(G$7&gt;=3,'02_Assumptions'!$E$19*1000*'02_Assumptions'!$D$56*POWER(1+'02_Assumptions'!$E$56,G$7-3),0)/1000000</f>
        <v>78.925</v>
      </c>
      <c r="H12" s="66" t="n">
        <f aca="false">IF(H$7&gt;=3,'02_Assumptions'!$E$19*1000*'02_Assumptions'!$D$56*POWER(1+'02_Assumptions'!$E$56,H$7-3),0)/1000000</f>
        <v>80.898125</v>
      </c>
      <c r="I12" s="66" t="n">
        <f aca="false">IF(I$7&gt;=3,'02_Assumptions'!$E$19*1000*'02_Assumptions'!$D$56*POWER(1+'02_Assumptions'!$E$56,I$7-3),0)/1000000</f>
        <v>82.920578125</v>
      </c>
      <c r="J12" s="66" t="n">
        <f aca="false">IF(J$7&gt;=3,'02_Assumptions'!$E$19*1000*'02_Assumptions'!$D$56*POWER(1+'02_Assumptions'!$E$56,J$7-3),0)/1000000</f>
        <v>84.993592578125</v>
      </c>
      <c r="K12" s="66" t="n">
        <f aca="false">IF(K$7&gt;=3,'02_Assumptions'!$E$19*1000*'02_Assumptions'!$D$56*POWER(1+'02_Assumptions'!$E$56,K$7-3),0)/1000000</f>
        <v>87.1184323925781</v>
      </c>
      <c r="L12" s="66" t="n">
        <f aca="false">IF(L$7&gt;=3,'02_Assumptions'!$E$19*1000*'02_Assumptions'!$D$56*POWER(1+'02_Assumptions'!$E$56,L$7-3),0)/1000000</f>
        <v>89.2963932023925</v>
      </c>
      <c r="M12" s="66" t="n">
        <f aca="false">IF(M$7&gt;=3,'02_Assumptions'!$E$19*1000*'02_Assumptions'!$D$56*POWER(1+'02_Assumptions'!$E$56,M$7-3),0)/1000000</f>
        <v>91.5288030324523</v>
      </c>
      <c r="N12" s="66" t="n">
        <f aca="false">IF(N$7&gt;=3,'02_Assumptions'!$E$19*1000*'02_Assumptions'!$D$56*POWER(1+'02_Assumptions'!$E$56,N$7-3),0)/1000000</f>
        <v>93.8170231082636</v>
      </c>
      <c r="O12" s="66" t="n">
        <f aca="false">IF(O$7&gt;=3,'02_Assumptions'!$E$19*1000*'02_Assumptions'!$D$56*POWER(1+'02_Assumptions'!$E$56,O$7-3),0)/1000000</f>
        <v>96.1624486859702</v>
      </c>
      <c r="P12" s="66" t="n">
        <f aca="false">IF(P$7&gt;=3,'02_Assumptions'!$E$19*1000*'02_Assumptions'!$D$56*POWER(1+'02_Assumptions'!$E$56,P$7-3),0)/1000000</f>
        <v>98.5665099031195</v>
      </c>
      <c r="Q12" s="66" t="n">
        <f aca="false">IF(Q$7&gt;=3,'02_Assumptions'!$E$19*1000*'02_Assumptions'!$D$56*POWER(1+'02_Assumptions'!$E$56,Q$7-3),0)/1000000</f>
        <v>101.030672650697</v>
      </c>
      <c r="R12" s="66" t="n">
        <f aca="false">IF(R$7&gt;=3,'02_Assumptions'!$E$19*1000*'02_Assumptions'!$D$56*POWER(1+'02_Assumptions'!$E$56,R$7-3),0)/1000000</f>
        <v>103.556439466965</v>
      </c>
      <c r="S12" s="66" t="n">
        <f aca="false">IF(S$7&gt;=3,'02_Assumptions'!$E$19*1000*'02_Assumptions'!$D$56*POWER(1+'02_Assumptions'!$E$56,S$7-3),0)/1000000</f>
        <v>106.145350453639</v>
      </c>
      <c r="T12" s="66" t="n">
        <f aca="false">IF(T$7&gt;=3,'02_Assumptions'!$E$19*1000*'02_Assumptions'!$D$56*POWER(1+'02_Assumptions'!$E$56,T$7-3),0)/1000000</f>
        <v>108.79898421498</v>
      </c>
      <c r="U12" s="66" t="n">
        <f aca="false">IF(U$7&gt;=3,'02_Assumptions'!$E$19*1000*'02_Assumptions'!$D$56*POWER(1+'02_Assumptions'!$E$56,U$7-3),0)/1000000</f>
        <v>111.518958820354</v>
      </c>
      <c r="V12" s="66" t="n">
        <f aca="false">IF(V$7&gt;=3,'02_Assumptions'!$E$19*1000*'02_Assumptions'!$D$56*POWER(1+'02_Assumptions'!$E$56,V$7-3),0)/1000000</f>
        <v>114.306932790863</v>
      </c>
      <c r="W12" s="66" t="n">
        <f aca="false">IF(W$7&gt;=3,'02_Assumptions'!$E$19*1000*'02_Assumptions'!$D$56*POWER(1+'02_Assumptions'!$E$56,W$7-3),0)/1000000</f>
        <v>117.164606110635</v>
      </c>
      <c r="X12" s="66" t="n">
        <f aca="false">IF(X$7&gt;=3,'02_Assumptions'!$E$19*1000*'02_Assumptions'!$D$56*POWER(1+'02_Assumptions'!$E$56,X$7-3),0)/1000000</f>
        <v>120.093721263401</v>
      </c>
      <c r="Y12" s="66" t="n">
        <f aca="false">IF(Y$7&gt;=3,'02_Assumptions'!$E$19*1000*'02_Assumptions'!$D$56*POWER(1+'02_Assumptions'!$E$56,Y$7-3),0)/1000000</f>
        <v>123.096064294986</v>
      </c>
      <c r="Z12" s="66" t="n">
        <f aca="false">IF(Z$7&gt;=3,'02_Assumptions'!$E$19*1000*'02_Assumptions'!$D$56*POWER(1+'02_Assumptions'!$E$56,Z$7-3),0)/1000000</f>
        <v>126.17346590236</v>
      </c>
      <c r="AA12" s="66" t="n">
        <f aca="false">IF(AA$7&gt;=3,'02_Assumptions'!$E$19*1000*'02_Assumptions'!$D$56*POWER(1+'02_Assumptions'!$E$56,AA$7-3),0)/1000000</f>
        <v>129.327802549919</v>
      </c>
      <c r="AB12" s="66" t="n">
        <f aca="false">IF(AB$7&gt;=3,'02_Assumptions'!$E$19*1000*'02_Assumptions'!$D$56*POWER(1+'02_Assumptions'!$E$56,AB$7-3),0)/1000000</f>
        <v>132.560997613667</v>
      </c>
      <c r="AC12" s="66" t="n">
        <f aca="false">IF(AC$7&gt;=3,'02_Assumptions'!$E$19*1000*'02_Assumptions'!$D$56*POWER(1+'02_Assumptions'!$E$56,AC$7-3),0)/1000000</f>
        <v>135.875022554009</v>
      </c>
      <c r="AD12" s="66" t="n">
        <f aca="false">IF(AD$7&gt;=3,'02_Assumptions'!$E$19*1000*'02_Assumptions'!$D$56*POWER(1+'02_Assumptions'!$E$56,AD$7-3),0)/1000000</f>
        <v>139.271898117859</v>
      </c>
      <c r="AE12" s="66" t="n">
        <f aca="false">IF(AE$7&gt;=3,'02_Assumptions'!$E$19*1000*'02_Assumptions'!$D$56*POWER(1+'02_Assumptions'!$E$56,AE$7-3),0)/1000000</f>
        <v>142.753695570806</v>
      </c>
      <c r="AF12" s="66" t="n">
        <f aca="false">IF(AF$7&gt;=3,'02_Assumptions'!$E$19*1000*'02_Assumptions'!$D$56*POWER(1+'02_Assumptions'!$E$56,AF$7-3),0)/1000000</f>
        <v>146.322537960076</v>
      </c>
      <c r="AG12" s="66" t="n">
        <f aca="false">IF(AG$7&gt;=3,'02_Assumptions'!$E$19*1000*'02_Assumptions'!$D$56*POWER(1+'02_Assumptions'!$E$56,AG$7-3),0)/1000000</f>
        <v>149.980601409078</v>
      </c>
    </row>
    <row r="13" customFormat="false" ht="15" hidden="false" customHeight="true" outlineLevel="0" collapsed="false">
      <c r="B13" s="65" t="s">
        <v>416</v>
      </c>
      <c r="C13" s="63" t="s">
        <v>351</v>
      </c>
      <c r="D13" s="66" t="n">
        <f aca="false">('04_CAPEX'!$I$33)*'02_Assumptions'!$D$57</f>
        <v>15.929400375</v>
      </c>
      <c r="E13" s="66" t="n">
        <f aca="false">('04_CAPEX'!$I$33)*'02_Assumptions'!$D$57</f>
        <v>15.929400375</v>
      </c>
      <c r="F13" s="66" t="n">
        <f aca="false">('04_CAPEX'!$I$33)*'02_Assumptions'!$D$57</f>
        <v>15.929400375</v>
      </c>
      <c r="G13" s="66" t="n">
        <f aca="false">('04_CAPEX'!$I$33)*'02_Assumptions'!$D$57</f>
        <v>15.929400375</v>
      </c>
      <c r="H13" s="66" t="n">
        <f aca="false">('04_CAPEX'!$I$33)*'02_Assumptions'!$D$57</f>
        <v>15.929400375</v>
      </c>
      <c r="I13" s="66" t="n">
        <f aca="false">('04_CAPEX'!$I$33)*'02_Assumptions'!$D$57</f>
        <v>15.929400375</v>
      </c>
      <c r="J13" s="66" t="n">
        <f aca="false">('04_CAPEX'!$I$33)*'02_Assumptions'!$D$57</f>
        <v>15.929400375</v>
      </c>
      <c r="K13" s="66" t="n">
        <f aca="false">('04_CAPEX'!$I$33)*'02_Assumptions'!$D$57</f>
        <v>15.929400375</v>
      </c>
      <c r="L13" s="66" t="n">
        <f aca="false">('04_CAPEX'!$I$33)*'02_Assumptions'!$D$57</f>
        <v>15.929400375</v>
      </c>
      <c r="M13" s="66" t="n">
        <f aca="false">('04_CAPEX'!$I$33)*'02_Assumptions'!$D$57</f>
        <v>15.929400375</v>
      </c>
      <c r="N13" s="66" t="n">
        <f aca="false">('04_CAPEX'!$I$33)*'02_Assumptions'!$D$57</f>
        <v>15.929400375</v>
      </c>
      <c r="O13" s="66" t="n">
        <f aca="false">('04_CAPEX'!$I$33)*'02_Assumptions'!$D$57</f>
        <v>15.929400375</v>
      </c>
      <c r="P13" s="66" t="n">
        <f aca="false">('04_CAPEX'!$I$33)*'02_Assumptions'!$D$57</f>
        <v>15.929400375</v>
      </c>
      <c r="Q13" s="66" t="n">
        <f aca="false">('04_CAPEX'!$I$33)*'02_Assumptions'!$D$57</f>
        <v>15.929400375</v>
      </c>
      <c r="R13" s="66" t="n">
        <f aca="false">('04_CAPEX'!$I$33)*'02_Assumptions'!$D$57</f>
        <v>15.929400375</v>
      </c>
      <c r="S13" s="66" t="n">
        <f aca="false">('04_CAPEX'!$I$33)*'02_Assumptions'!$D$57</f>
        <v>15.929400375</v>
      </c>
      <c r="T13" s="66" t="n">
        <f aca="false">('04_CAPEX'!$I$33)*'02_Assumptions'!$D$57</f>
        <v>15.929400375</v>
      </c>
      <c r="U13" s="66" t="n">
        <f aca="false">('04_CAPEX'!$I$33)*'02_Assumptions'!$D$57</f>
        <v>15.929400375</v>
      </c>
      <c r="V13" s="66" t="n">
        <f aca="false">('04_CAPEX'!$I$33)*'02_Assumptions'!$D$57</f>
        <v>15.929400375</v>
      </c>
      <c r="W13" s="66" t="n">
        <f aca="false">('04_CAPEX'!$I$33)*'02_Assumptions'!$D$57</f>
        <v>15.929400375</v>
      </c>
      <c r="X13" s="66" t="n">
        <f aca="false">('04_CAPEX'!$I$33)*'02_Assumptions'!$D$57</f>
        <v>15.929400375</v>
      </c>
      <c r="Y13" s="66" t="n">
        <f aca="false">('04_CAPEX'!$I$33)*'02_Assumptions'!$D$57</f>
        <v>15.929400375</v>
      </c>
      <c r="Z13" s="66" t="n">
        <f aca="false">('04_CAPEX'!$I$33)*'02_Assumptions'!$D$57</f>
        <v>15.929400375</v>
      </c>
      <c r="AA13" s="66" t="n">
        <f aca="false">('04_CAPEX'!$I$33)*'02_Assumptions'!$D$57</f>
        <v>15.929400375</v>
      </c>
      <c r="AB13" s="66" t="n">
        <f aca="false">('04_CAPEX'!$I$33)*'02_Assumptions'!$D$57</f>
        <v>15.929400375</v>
      </c>
      <c r="AC13" s="66" t="n">
        <f aca="false">('04_CAPEX'!$I$33)*'02_Assumptions'!$D$57</f>
        <v>15.929400375</v>
      </c>
      <c r="AD13" s="66" t="n">
        <f aca="false">('04_CAPEX'!$I$33)*'02_Assumptions'!$D$57</f>
        <v>15.929400375</v>
      </c>
      <c r="AE13" s="66" t="n">
        <f aca="false">('04_CAPEX'!$I$33)*'02_Assumptions'!$D$57</f>
        <v>15.929400375</v>
      </c>
      <c r="AF13" s="66" t="n">
        <f aca="false">('04_CAPEX'!$I$33)*'02_Assumptions'!$D$57</f>
        <v>15.929400375</v>
      </c>
      <c r="AG13" s="66" t="n">
        <f aca="false">('04_CAPEX'!$I$33)*'02_Assumptions'!$D$57</f>
        <v>15.929400375</v>
      </c>
    </row>
    <row r="14" customFormat="false" ht="15" hidden="false" customHeight="true" outlineLevel="0" collapsed="false">
      <c r="B14" s="65" t="s">
        <v>417</v>
      </c>
      <c r="C14" s="63" t="s">
        <v>351</v>
      </c>
      <c r="D14" s="66" t="n">
        <f aca="false">'02_Assumptions'!$D$7*'02_Assumptions'!$D$58*POWER(1+'02_Assumptions'!$E$58,D$7-1)/1000000</f>
        <v>0.1477686</v>
      </c>
      <c r="E14" s="66" t="n">
        <f aca="false">'02_Assumptions'!$D$7*'02_Assumptions'!$D$58*POWER(1+'02_Assumptions'!$E$58,E$7-1)/1000000</f>
        <v>0.154418187</v>
      </c>
      <c r="F14" s="66" t="n">
        <f aca="false">'02_Assumptions'!$D$7*'02_Assumptions'!$D$58*POWER(1+'02_Assumptions'!$E$58,F$7-1)/1000000</f>
        <v>0.161367005415</v>
      </c>
      <c r="G14" s="66" t="n">
        <f aca="false">'02_Assumptions'!$D$7*'02_Assumptions'!$D$58*POWER(1+'02_Assumptions'!$E$58,G$7-1)/1000000</f>
        <v>0.168628520658675</v>
      </c>
      <c r="H14" s="66" t="n">
        <f aca="false">'02_Assumptions'!$D$7*'02_Assumptions'!$D$58*POWER(1+'02_Assumptions'!$E$58,H$7-1)/1000000</f>
        <v>0.176216804088315</v>
      </c>
      <c r="I14" s="66" t="n">
        <f aca="false">'02_Assumptions'!$D$7*'02_Assumptions'!$D$58*POWER(1+'02_Assumptions'!$E$58,I$7-1)/1000000</f>
        <v>0.18414656027229</v>
      </c>
      <c r="J14" s="66" t="n">
        <f aca="false">'02_Assumptions'!$D$7*'02_Assumptions'!$D$58*POWER(1+'02_Assumptions'!$E$58,J$7-1)/1000000</f>
        <v>0.192433155484543</v>
      </c>
      <c r="K14" s="66" t="n">
        <f aca="false">'02_Assumptions'!$D$7*'02_Assumptions'!$D$58*POWER(1+'02_Assumptions'!$E$58,K$7-1)/1000000</f>
        <v>0.201092647481347</v>
      </c>
      <c r="L14" s="66" t="n">
        <f aca="false">'02_Assumptions'!$D$7*'02_Assumptions'!$D$58*POWER(1+'02_Assumptions'!$E$58,L$7-1)/1000000</f>
        <v>0.210141816618008</v>
      </c>
      <c r="M14" s="66" t="n">
        <f aca="false">'02_Assumptions'!$D$7*'02_Assumptions'!$D$58*POWER(1+'02_Assumptions'!$E$58,M$7-1)/1000000</f>
        <v>0.219598198365818</v>
      </c>
      <c r="N14" s="66" t="n">
        <f aca="false">'02_Assumptions'!$D$7*'02_Assumptions'!$D$58*POWER(1+'02_Assumptions'!$E$58,N$7-1)/1000000</f>
        <v>0.22948011729228</v>
      </c>
      <c r="O14" s="66" t="n">
        <f aca="false">'02_Assumptions'!$D$7*'02_Assumptions'!$D$58*POWER(1+'02_Assumptions'!$E$58,O$7-1)/1000000</f>
        <v>0.239806722570432</v>
      </c>
      <c r="P14" s="66" t="n">
        <f aca="false">'02_Assumptions'!$D$7*'02_Assumptions'!$D$58*POWER(1+'02_Assumptions'!$E$58,P$7-1)/1000000</f>
        <v>0.250598025086102</v>
      </c>
      <c r="Q14" s="66" t="n">
        <f aca="false">'02_Assumptions'!$D$7*'02_Assumptions'!$D$58*POWER(1+'02_Assumptions'!$E$58,Q$7-1)/1000000</f>
        <v>0.261874936214976</v>
      </c>
      <c r="R14" s="66" t="n">
        <f aca="false">'02_Assumptions'!$D$7*'02_Assumptions'!$D$58*POWER(1+'02_Assumptions'!$E$58,R$7-1)/1000000</f>
        <v>0.27365930834465</v>
      </c>
      <c r="S14" s="66" t="n">
        <f aca="false">'02_Assumptions'!$D$7*'02_Assumptions'!$D$58*POWER(1+'02_Assumptions'!$E$58,S$7-1)/1000000</f>
        <v>0.285973977220159</v>
      </c>
      <c r="T14" s="66" t="n">
        <f aca="false">'02_Assumptions'!$D$7*'02_Assumptions'!$D$58*POWER(1+'02_Assumptions'!$E$58,T$7-1)/1000000</f>
        <v>0.298842806195067</v>
      </c>
      <c r="U14" s="66" t="n">
        <f aca="false">'02_Assumptions'!$D$7*'02_Assumptions'!$D$58*POWER(1+'02_Assumptions'!$E$58,U$7-1)/1000000</f>
        <v>0.312290732473844</v>
      </c>
      <c r="V14" s="66" t="n">
        <f aca="false">'02_Assumptions'!$D$7*'02_Assumptions'!$D$58*POWER(1+'02_Assumptions'!$E$58,V$7-1)/1000000</f>
        <v>0.326343815435167</v>
      </c>
      <c r="W14" s="66" t="n">
        <f aca="false">'02_Assumptions'!$D$7*'02_Assumptions'!$D$58*POWER(1+'02_Assumptions'!$E$58,W$7-1)/1000000</f>
        <v>0.34102928712975</v>
      </c>
      <c r="X14" s="66" t="n">
        <f aca="false">'02_Assumptions'!$D$7*'02_Assumptions'!$D$58*POWER(1+'02_Assumptions'!$E$58,X$7-1)/1000000</f>
        <v>0.356375605050589</v>
      </c>
      <c r="Y14" s="66" t="n">
        <f aca="false">'02_Assumptions'!$D$7*'02_Assumptions'!$D$58*POWER(1+'02_Assumptions'!$E$58,Y$7-1)/1000000</f>
        <v>0.372412507277865</v>
      </c>
      <c r="Z14" s="66" t="n">
        <f aca="false">'02_Assumptions'!$D$7*'02_Assumptions'!$D$58*POWER(1+'02_Assumptions'!$E$58,Z$7-1)/1000000</f>
        <v>0.389171070105369</v>
      </c>
      <c r="AA14" s="66" t="n">
        <f aca="false">'02_Assumptions'!$D$7*'02_Assumptions'!$D$58*POWER(1+'02_Assumptions'!$E$58,AA$7-1)/1000000</f>
        <v>0.406683768260111</v>
      </c>
      <c r="AB14" s="66" t="n">
        <f aca="false">'02_Assumptions'!$D$7*'02_Assumptions'!$D$58*POWER(1+'02_Assumptions'!$E$58,AB$7-1)/1000000</f>
        <v>0.424984537831816</v>
      </c>
      <c r="AC14" s="66" t="n">
        <f aca="false">'02_Assumptions'!$D$7*'02_Assumptions'!$D$58*POWER(1+'02_Assumptions'!$E$58,AC$7-1)/1000000</f>
        <v>0.444108842034247</v>
      </c>
      <c r="AD14" s="66" t="n">
        <f aca="false">'02_Assumptions'!$D$7*'02_Assumptions'!$D$58*POWER(1+'02_Assumptions'!$E$58,AD$7-1)/1000000</f>
        <v>0.464093739925788</v>
      </c>
      <c r="AE14" s="66" t="n">
        <f aca="false">'02_Assumptions'!$D$7*'02_Assumptions'!$D$58*POWER(1+'02_Assumptions'!$E$58,AE$7-1)/1000000</f>
        <v>0.484977958222449</v>
      </c>
      <c r="AF14" s="66" t="n">
        <f aca="false">'02_Assumptions'!$D$7*'02_Assumptions'!$D$58*POWER(1+'02_Assumptions'!$E$58,AF$7-1)/1000000</f>
        <v>0.506801966342459</v>
      </c>
      <c r="AG14" s="66" t="n">
        <f aca="false">'02_Assumptions'!$D$7*'02_Assumptions'!$D$58*POWER(1+'02_Assumptions'!$E$58,AG$7-1)/1000000</f>
        <v>0.52960805482787</v>
      </c>
    </row>
    <row r="15" customFormat="false" ht="15" hidden="false" customHeight="true" outlineLevel="0" collapsed="false">
      <c r="B15" s="95" t="s">
        <v>418</v>
      </c>
      <c r="C15" s="96" t="s">
        <v>351</v>
      </c>
      <c r="D15" s="97" t="n">
        <f aca="false">SUM(D10:D14)</f>
        <v>25.677168975</v>
      </c>
      <c r="E15" s="97" t="n">
        <f aca="false">SUM(E10:E14)</f>
        <v>25.875818562</v>
      </c>
      <c r="F15" s="97" t="n">
        <f aca="false">SUM(F10:F14)</f>
        <v>119.660367380415</v>
      </c>
      <c r="G15" s="97" t="n">
        <f aca="false">SUM(G10:G14)</f>
        <v>122.124020895659</v>
      </c>
      <c r="H15" s="97" t="n">
        <f aca="false">SUM(H10:H14)</f>
        <v>124.646754019088</v>
      </c>
      <c r="I15" s="97" t="n">
        <f aca="false">SUM(I10:I14)</f>
        <v>127.229997137072</v>
      </c>
      <c r="J15" s="97" t="n">
        <f aca="false">SUM(J10:J14)</f>
        <v>129.875215626946</v>
      </c>
      <c r="K15" s="97" t="n">
        <f aca="false">SUM(K10:K14)</f>
        <v>132.583910723762</v>
      </c>
      <c r="L15" s="97" t="n">
        <f aca="false">SUM(L10:L14)</f>
        <v>135.357620408887</v>
      </c>
      <c r="M15" s="97" t="n">
        <f aca="false">SUM(M10:M14)</f>
        <v>138.197920320992</v>
      </c>
      <c r="N15" s="97" t="n">
        <f aca="false">SUM(N10:N14)</f>
        <v>141.106424690034</v>
      </c>
      <c r="O15" s="97" t="n">
        <f aca="false">SUM(O10:O14)</f>
        <v>144.084787294808</v>
      </c>
      <c r="P15" s="97" t="n">
        <f aca="false">SUM(P10:P14)</f>
        <v>147.134702444698</v>
      </c>
      <c r="Q15" s="97" t="n">
        <f aca="false">SUM(Q10:Q14)</f>
        <v>150.257905986235</v>
      </c>
      <c r="R15" s="97" t="n">
        <f aca="false">SUM(R10:R14)</f>
        <v>153.456176335119</v>
      </c>
      <c r="S15" s="97" t="n">
        <f aca="false">SUM(S10:S14)</f>
        <v>156.731335534364</v>
      </c>
      <c r="T15" s="97" t="n">
        <f aca="false">SUM(T10:T14)</f>
        <v>160.08525033925</v>
      </c>
      <c r="U15" s="97" t="n">
        <f aca="false">SUM(U10:U14)</f>
        <v>163.519833329765</v>
      </c>
      <c r="V15" s="97" t="n">
        <f aca="false">SUM(V10:V14)</f>
        <v>167.037044051274</v>
      </c>
      <c r="W15" s="97" t="n">
        <f aca="false">SUM(W10:W14)</f>
        <v>170.63889018414</v>
      </c>
      <c r="X15" s="97" t="n">
        <f aca="false">SUM(X10:X14)</f>
        <v>174.327428743054</v>
      </c>
      <c r="Y15" s="97" t="n">
        <f aca="false">SUM(Y10:Y14)</f>
        <v>178.104767306858</v>
      </c>
      <c r="Z15" s="97" t="n">
        <f aca="false">SUM(Z10:Z14)</f>
        <v>181.973065279652</v>
      </c>
      <c r="AA15" s="97" t="n">
        <f aca="false">SUM(AA10:AA14)</f>
        <v>185.93453518401</v>
      </c>
      <c r="AB15" s="97" t="n">
        <f aca="false">SUM(AB10:AB14)</f>
        <v>189.991443987146</v>
      </c>
      <c r="AC15" s="97" t="n">
        <f aca="false">SUM(AC10:AC14)</f>
        <v>194.146114460903</v>
      </c>
      <c r="AD15" s="97" t="n">
        <f aca="false">SUM(AD10:AD14)</f>
        <v>198.400926576442</v>
      </c>
      <c r="AE15" s="97" t="n">
        <f aca="false">SUM(AE10:AE14)</f>
        <v>202.758318934558</v>
      </c>
      <c r="AF15" s="97" t="n">
        <f aca="false">SUM(AF10:AF14)</f>
        <v>207.220790232559</v>
      </c>
      <c r="AG15" s="97" t="n">
        <f aca="false">SUM(AG10:AG14)</f>
        <v>211.790900768669</v>
      </c>
    </row>
    <row r="17" customFormat="false" ht="21.75" hidden="false" customHeight="true" outlineLevel="0" collapsed="false">
      <c r="B17" s="61" t="s">
        <v>419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</row>
    <row r="18" customFormat="false" ht="15" hidden="false" customHeight="true" outlineLevel="0" collapsed="false">
      <c r="B18" s="65" t="s">
        <v>420</v>
      </c>
      <c r="C18" s="63" t="s">
        <v>351</v>
      </c>
      <c r="D18" s="66" t="n">
        <f aca="false">'03_Revenue'!D10*1000*'02_Assumptions'!$D$54/1000000</f>
        <v>3.279744</v>
      </c>
      <c r="E18" s="66" t="n">
        <f aca="false">'03_Revenue'!E10*1000*'02_Assumptions'!$D$54/1000000</f>
        <v>3.26334528</v>
      </c>
      <c r="F18" s="66" t="n">
        <f aca="false">'03_Revenue'!F10*1000*'02_Assumptions'!$D$54/1000000</f>
        <v>8.1666445536</v>
      </c>
      <c r="G18" s="66" t="n">
        <f aca="false">'03_Revenue'!G10*1000*'02_Assumptions'!$D$54/1000000</f>
        <v>8.125811330832</v>
      </c>
      <c r="H18" s="66" t="n">
        <f aca="false">'03_Revenue'!H10*1000*'02_Assumptions'!$D$54/1000000</f>
        <v>8.08518227417784</v>
      </c>
      <c r="I18" s="66" t="n">
        <f aca="false">'03_Revenue'!I10*1000*'02_Assumptions'!$D$54/1000000</f>
        <v>8.04475636280695</v>
      </c>
      <c r="J18" s="66" t="n">
        <f aca="false">'03_Revenue'!J10*1000*'02_Assumptions'!$D$54/1000000</f>
        <v>8.00453258099292</v>
      </c>
      <c r="K18" s="66" t="n">
        <f aca="false">'03_Revenue'!K10*1000*'02_Assumptions'!$D$54/1000000</f>
        <v>7.96450991808795</v>
      </c>
      <c r="L18" s="66" t="n">
        <f aca="false">'03_Revenue'!L10*1000*'02_Assumptions'!$D$54/1000000</f>
        <v>7.92468736849751</v>
      </c>
      <c r="M18" s="66" t="n">
        <f aca="false">'03_Revenue'!M10*1000*'02_Assumptions'!$D$54/1000000</f>
        <v>7.88506393165502</v>
      </c>
      <c r="N18" s="66" t="n">
        <f aca="false">'03_Revenue'!N10*1000*'02_Assumptions'!$D$54/1000000</f>
        <v>7.84563861199675</v>
      </c>
      <c r="O18" s="66" t="n">
        <f aca="false">'03_Revenue'!O10*1000*'02_Assumptions'!$D$54/1000000</f>
        <v>7.80641041893677</v>
      </c>
      <c r="P18" s="66" t="n">
        <f aca="false">'03_Revenue'!P10*1000*'02_Assumptions'!$D$54/1000000</f>
        <v>7.76737836684208</v>
      </c>
      <c r="Q18" s="66" t="n">
        <f aca="false">'03_Revenue'!Q10*1000*'02_Assumptions'!$D$54/1000000</f>
        <v>7.72854147500787</v>
      </c>
      <c r="R18" s="66" t="n">
        <f aca="false">'03_Revenue'!R10*1000*'02_Assumptions'!$D$54/1000000</f>
        <v>7.68989876763283</v>
      </c>
      <c r="S18" s="66" t="n">
        <f aca="false">'03_Revenue'!S10*1000*'02_Assumptions'!$D$54/1000000</f>
        <v>7.65144927379467</v>
      </c>
      <c r="T18" s="66" t="n">
        <f aca="false">'03_Revenue'!T10*1000*'02_Assumptions'!$D$54/1000000</f>
        <v>7.61319202742569</v>
      </c>
      <c r="U18" s="66" t="n">
        <f aca="false">'03_Revenue'!U10*1000*'02_Assumptions'!$D$54/1000000</f>
        <v>7.57512606728856</v>
      </c>
      <c r="V18" s="66" t="n">
        <f aca="false">'03_Revenue'!V10*1000*'02_Assumptions'!$D$54/1000000</f>
        <v>7.53725043695212</v>
      </c>
      <c r="W18" s="66" t="n">
        <f aca="false">'03_Revenue'!W10*1000*'02_Assumptions'!$D$54/1000000</f>
        <v>7.49956418476736</v>
      </c>
      <c r="X18" s="66" t="n">
        <f aca="false">'03_Revenue'!X10*1000*'02_Assumptions'!$D$54/1000000</f>
        <v>7.46206636384353</v>
      </c>
      <c r="Y18" s="66" t="n">
        <f aca="false">'03_Revenue'!Y10*1000*'02_Assumptions'!$D$54/1000000</f>
        <v>7.42475603202431</v>
      </c>
      <c r="Z18" s="66" t="n">
        <f aca="false">'03_Revenue'!Z10*1000*'02_Assumptions'!$D$54/1000000</f>
        <v>7.38763225186419</v>
      </c>
      <c r="AA18" s="66" t="n">
        <f aca="false">'03_Revenue'!AA10*1000*'02_Assumptions'!$D$54/1000000</f>
        <v>7.35069409060486</v>
      </c>
      <c r="AB18" s="66" t="n">
        <f aca="false">'03_Revenue'!AB10*1000*'02_Assumptions'!$D$54/1000000</f>
        <v>7.31394062015184</v>
      </c>
      <c r="AC18" s="66" t="n">
        <f aca="false">'03_Revenue'!AC10*1000*'02_Assumptions'!$D$54/1000000</f>
        <v>7.27737091705108</v>
      </c>
      <c r="AD18" s="66" t="n">
        <f aca="false">'03_Revenue'!AD10*1000*'02_Assumptions'!$D$54/1000000</f>
        <v>7.24098406246583</v>
      </c>
      <c r="AE18" s="66" t="n">
        <f aca="false">'03_Revenue'!AE10*1000*'02_Assumptions'!$D$54/1000000</f>
        <v>7.2047791421535</v>
      </c>
      <c r="AF18" s="66" t="n">
        <f aca="false">'03_Revenue'!AF10*1000*'02_Assumptions'!$D$54/1000000</f>
        <v>7.16875524644273</v>
      </c>
      <c r="AG18" s="66" t="n">
        <f aca="false">'03_Revenue'!AG10*1000*'02_Assumptions'!$D$54/1000000</f>
        <v>7.13291147021052</v>
      </c>
    </row>
    <row r="19" customFormat="false" ht="15" hidden="false" customHeight="true" outlineLevel="0" collapsed="false">
      <c r="B19" s="95" t="s">
        <v>421</v>
      </c>
      <c r="C19" s="96" t="s">
        <v>351</v>
      </c>
      <c r="D19" s="97" t="n">
        <f aca="false">D18</f>
        <v>3.279744</v>
      </c>
      <c r="E19" s="97" t="n">
        <f aca="false">E18</f>
        <v>3.26334528</v>
      </c>
      <c r="F19" s="97" t="n">
        <f aca="false">F18</f>
        <v>8.1666445536</v>
      </c>
      <c r="G19" s="97" t="n">
        <f aca="false">G18</f>
        <v>8.125811330832</v>
      </c>
      <c r="H19" s="97" t="n">
        <f aca="false">H18</f>
        <v>8.08518227417784</v>
      </c>
      <c r="I19" s="97" t="n">
        <f aca="false">I18</f>
        <v>8.04475636280695</v>
      </c>
      <c r="J19" s="97" t="n">
        <f aca="false">J18</f>
        <v>8.00453258099292</v>
      </c>
      <c r="K19" s="97" t="n">
        <f aca="false">K18</f>
        <v>7.96450991808795</v>
      </c>
      <c r="L19" s="97" t="n">
        <f aca="false">L18</f>
        <v>7.92468736849751</v>
      </c>
      <c r="M19" s="97" t="n">
        <f aca="false">M18</f>
        <v>7.88506393165502</v>
      </c>
      <c r="N19" s="97" t="n">
        <f aca="false">N18</f>
        <v>7.84563861199675</v>
      </c>
      <c r="O19" s="97" t="n">
        <f aca="false">O18</f>
        <v>7.80641041893677</v>
      </c>
      <c r="P19" s="97" t="n">
        <f aca="false">P18</f>
        <v>7.76737836684208</v>
      </c>
      <c r="Q19" s="97" t="n">
        <f aca="false">Q18</f>
        <v>7.72854147500787</v>
      </c>
      <c r="R19" s="97" t="n">
        <f aca="false">R18</f>
        <v>7.68989876763283</v>
      </c>
      <c r="S19" s="97" t="n">
        <f aca="false">S18</f>
        <v>7.65144927379467</v>
      </c>
      <c r="T19" s="97" t="n">
        <f aca="false">T18</f>
        <v>7.61319202742569</v>
      </c>
      <c r="U19" s="97" t="n">
        <f aca="false">U18</f>
        <v>7.57512606728856</v>
      </c>
      <c r="V19" s="97" t="n">
        <f aca="false">V18</f>
        <v>7.53725043695212</v>
      </c>
      <c r="W19" s="97" t="n">
        <f aca="false">W18</f>
        <v>7.49956418476736</v>
      </c>
      <c r="X19" s="97" t="n">
        <f aca="false">X18</f>
        <v>7.46206636384353</v>
      </c>
      <c r="Y19" s="97" t="n">
        <f aca="false">Y18</f>
        <v>7.42475603202431</v>
      </c>
      <c r="Z19" s="97" t="n">
        <f aca="false">Z18</f>
        <v>7.38763225186419</v>
      </c>
      <c r="AA19" s="97" t="n">
        <f aca="false">AA18</f>
        <v>7.35069409060486</v>
      </c>
      <c r="AB19" s="97" t="n">
        <f aca="false">AB18</f>
        <v>7.31394062015184</v>
      </c>
      <c r="AC19" s="97" t="n">
        <f aca="false">AC18</f>
        <v>7.27737091705108</v>
      </c>
      <c r="AD19" s="97" t="n">
        <f aca="false">AD18</f>
        <v>7.24098406246583</v>
      </c>
      <c r="AE19" s="97" t="n">
        <f aca="false">AE18</f>
        <v>7.2047791421535</v>
      </c>
      <c r="AF19" s="97" t="n">
        <f aca="false">AF18</f>
        <v>7.16875524644273</v>
      </c>
      <c r="AG19" s="97" t="n">
        <f aca="false">AG18</f>
        <v>7.13291147021052</v>
      </c>
    </row>
    <row r="21" customFormat="false" ht="21.75" hidden="false" customHeight="true" outlineLevel="0" collapsed="false">
      <c r="B21" s="61" t="s">
        <v>422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  <c r="AA21" s="2"/>
      <c r="AB21" s="2"/>
      <c r="AC21" s="2"/>
      <c r="AD21" s="2"/>
      <c r="AE21" s="2"/>
      <c r="AF21" s="2"/>
      <c r="AG21" s="2"/>
    </row>
    <row r="22" customFormat="false" ht="15" hidden="false" customHeight="true" outlineLevel="0" collapsed="false">
      <c r="B22" s="98" t="s">
        <v>423</v>
      </c>
      <c r="C22" s="99" t="s">
        <v>351</v>
      </c>
      <c r="D22" s="100" t="n">
        <f aca="false">D15+D19</f>
        <v>28.956912975</v>
      </c>
      <c r="E22" s="100" t="n">
        <f aca="false">E15+E19</f>
        <v>29.139163842</v>
      </c>
      <c r="F22" s="100" t="n">
        <f aca="false">F15+F19</f>
        <v>127.827011934015</v>
      </c>
      <c r="G22" s="100" t="n">
        <f aca="false">G15+G19</f>
        <v>130.249832226491</v>
      </c>
      <c r="H22" s="100" t="n">
        <f aca="false">H15+H19</f>
        <v>132.731936293266</v>
      </c>
      <c r="I22" s="100" t="n">
        <f aca="false">I15+I19</f>
        <v>135.274753499879</v>
      </c>
      <c r="J22" s="100" t="n">
        <f aca="false">J15+J19</f>
        <v>137.879748207938</v>
      </c>
      <c r="K22" s="100" t="n">
        <f aca="false">K15+K19</f>
        <v>140.54842064185</v>
      </c>
      <c r="L22" s="100" t="n">
        <f aca="false">L15+L19</f>
        <v>143.282307777385</v>
      </c>
      <c r="M22" s="100" t="n">
        <f aca="false">M15+M19</f>
        <v>146.082984252648</v>
      </c>
      <c r="N22" s="100" t="n">
        <f aca="false">N15+N19</f>
        <v>148.95206330203</v>
      </c>
      <c r="O22" s="100" t="n">
        <f aca="false">O15+O19</f>
        <v>151.891197713745</v>
      </c>
      <c r="P22" s="100" t="n">
        <f aca="false">P15+P19</f>
        <v>154.90208081154</v>
      </c>
      <c r="Q22" s="100" t="n">
        <f aca="false">Q15+Q19</f>
        <v>157.986447461243</v>
      </c>
      <c r="R22" s="100" t="n">
        <f aca="false">R15+R19</f>
        <v>161.146075102751</v>
      </c>
      <c r="S22" s="100" t="n">
        <f aca="false">S15+S19</f>
        <v>164.382784808159</v>
      </c>
      <c r="T22" s="100" t="n">
        <f aca="false">T15+T19</f>
        <v>167.698442366676</v>
      </c>
      <c r="U22" s="100" t="n">
        <f aca="false">U15+U19</f>
        <v>171.094959397054</v>
      </c>
      <c r="V22" s="100" t="n">
        <f aca="false">V15+V19</f>
        <v>174.574294488226</v>
      </c>
      <c r="W22" s="100" t="n">
        <f aca="false">W15+W19</f>
        <v>178.138454368907</v>
      </c>
      <c r="X22" s="100" t="n">
        <f aca="false">X15+X19</f>
        <v>181.789495106897</v>
      </c>
      <c r="Y22" s="100" t="n">
        <f aca="false">Y15+Y19</f>
        <v>185.529523338882</v>
      </c>
      <c r="Z22" s="100" t="n">
        <f aca="false">Z15+Z19</f>
        <v>189.360697531516</v>
      </c>
      <c r="AA22" s="100" t="n">
        <f aca="false">AA15+AA19</f>
        <v>193.285229274615</v>
      </c>
      <c r="AB22" s="100" t="n">
        <f aca="false">AB15+AB19</f>
        <v>197.305384607298</v>
      </c>
      <c r="AC22" s="100" t="n">
        <f aca="false">AC15+AC19</f>
        <v>201.423485377954</v>
      </c>
      <c r="AD22" s="100" t="n">
        <f aca="false">AD15+AD19</f>
        <v>205.641910638908</v>
      </c>
      <c r="AE22" s="100" t="n">
        <f aca="false">AE15+AE19</f>
        <v>209.963098076712</v>
      </c>
      <c r="AF22" s="100" t="n">
        <f aca="false">AF15+AF19</f>
        <v>214.389545479002</v>
      </c>
      <c r="AG22" s="100" t="n">
        <f aca="false">AG15+AG19</f>
        <v>218.92381223888</v>
      </c>
    </row>
    <row r="24" customFormat="false" ht="15" hidden="false" customHeight="true" outlineLevel="0" collapsed="false">
      <c r="B24" s="65" t="s">
        <v>424</v>
      </c>
      <c r="C24" s="63" t="s">
        <v>351</v>
      </c>
      <c r="D24" s="66" t="n">
        <f aca="false">SUM($D$22:D22)</f>
        <v>28.956912975</v>
      </c>
      <c r="E24" s="66" t="n">
        <f aca="false">SUM($D$22:E22)</f>
        <v>58.096076817</v>
      </c>
      <c r="F24" s="66" t="n">
        <f aca="false">SUM($D$22:F22)</f>
        <v>185.923088751015</v>
      </c>
      <c r="G24" s="66" t="n">
        <f aca="false">SUM($D$22:G22)</f>
        <v>316.172920977506</v>
      </c>
      <c r="H24" s="66" t="n">
        <f aca="false">SUM($D$22:H22)</f>
        <v>448.904857270772</v>
      </c>
      <c r="I24" s="66" t="n">
        <f aca="false">SUM($D$22:I22)</f>
        <v>584.179610770651</v>
      </c>
      <c r="J24" s="66" t="n">
        <f aca="false">SUM($D$22:J22)</f>
        <v>722.059358978589</v>
      </c>
      <c r="K24" s="66" t="n">
        <f aca="false">SUM($D$22:K22)</f>
        <v>862.60777962044</v>
      </c>
      <c r="L24" s="66" t="n">
        <f aca="false">SUM($D$22:L22)</f>
        <v>1005.89008739782</v>
      </c>
      <c r="M24" s="66" t="n">
        <f aca="false">SUM($D$22:M22)</f>
        <v>1151.97307165047</v>
      </c>
      <c r="N24" s="66" t="n">
        <f aca="false">SUM($D$22:N22)</f>
        <v>1300.9251349525</v>
      </c>
      <c r="O24" s="66" t="n">
        <f aca="false">SUM($D$22:O22)</f>
        <v>1452.81633266625</v>
      </c>
      <c r="P24" s="66" t="n">
        <f aca="false">SUM($D$22:P22)</f>
        <v>1607.71841347779</v>
      </c>
      <c r="Q24" s="66" t="n">
        <f aca="false">SUM($D$22:Q22)</f>
        <v>1765.70486093903</v>
      </c>
      <c r="R24" s="66" t="n">
        <f aca="false">SUM($D$22:R22)</f>
        <v>1926.85093604178</v>
      </c>
      <c r="S24" s="66" t="n">
        <f aca="false">SUM($D$22:S22)</f>
        <v>2091.23372084994</v>
      </c>
      <c r="T24" s="66" t="n">
        <f aca="false">SUM($D$22:T22)</f>
        <v>2258.93216321662</v>
      </c>
      <c r="U24" s="66" t="n">
        <f aca="false">SUM($D$22:U22)</f>
        <v>2430.02712261367</v>
      </c>
      <c r="V24" s="66" t="n">
        <f aca="false">SUM($D$22:V22)</f>
        <v>2604.6014171019</v>
      </c>
      <c r="W24" s="66" t="n">
        <f aca="false">SUM($D$22:W22)</f>
        <v>2782.7398714708</v>
      </c>
      <c r="X24" s="66" t="n">
        <f aca="false">SUM($D$22:X22)</f>
        <v>2964.5293665777</v>
      </c>
      <c r="Y24" s="66" t="n">
        <f aca="false">SUM($D$22:Y22)</f>
        <v>3150.05888991658</v>
      </c>
      <c r="Z24" s="66" t="n">
        <f aca="false">SUM($D$22:Z22)</f>
        <v>3339.4195874481</v>
      </c>
      <c r="AA24" s="66" t="n">
        <f aca="false">SUM($D$22:AA22)</f>
        <v>3532.70481672271</v>
      </c>
      <c r="AB24" s="66" t="n">
        <f aca="false">SUM($D$22:AB22)</f>
        <v>3730.01020133001</v>
      </c>
      <c r="AC24" s="66" t="n">
        <f aca="false">SUM($D$22:AC22)</f>
        <v>3931.43368670797</v>
      </c>
      <c r="AD24" s="66" t="n">
        <f aca="false">SUM($D$22:AD22)</f>
        <v>4137.07559734687</v>
      </c>
      <c r="AE24" s="66" t="n">
        <f aca="false">SUM($D$22:AE22)</f>
        <v>4347.03869542359</v>
      </c>
      <c r="AF24" s="66" t="n">
        <f aca="false">SUM($D$22:AF22)</f>
        <v>4561.42824090259</v>
      </c>
      <c r="AG24" s="66" t="n">
        <f aca="false">SUM($D$22:AG22)</f>
        <v>4780.35205314147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AG3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7" topLeftCell="D8" activePane="bottomRight" state="frozen"/>
      <selection pane="topLeft" activeCell="A1" activeCellId="0" sqref="A1"/>
      <selection pane="topRight" activeCell="D1" activeCellId="0" sqref="D1"/>
      <selection pane="bottomLeft" activeCell="A8" activeCellId="0" sqref="A8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0"/>
    <col collapsed="false" customWidth="true" hidden="false" outlineLevel="0" max="3" min="3" style="1" width="12"/>
    <col collapsed="false" customWidth="true" hidden="false" outlineLevel="0" max="33" min="4" style="1" width="11"/>
  </cols>
  <sheetData>
    <row r="2" customFormat="false" ht="24" hidden="false" customHeight="true" outlineLevel="0" collapsed="false">
      <c r="B2" s="93" t="s">
        <v>425</v>
      </c>
    </row>
    <row r="3" customFormat="false" ht="15" hidden="false" customHeight="true" outlineLevel="0" collapsed="false">
      <c r="B3" s="94" t="s">
        <v>426</v>
      </c>
    </row>
    <row r="5" customFormat="false" ht="21.75" hidden="false" customHeight="true" outlineLevel="0" collapsed="false">
      <c r="B5" s="56" t="s">
        <v>414</v>
      </c>
      <c r="C5" s="57" t="s">
        <v>284</v>
      </c>
      <c r="D5" s="58" t="s">
        <v>285</v>
      </c>
      <c r="E5" s="58" t="s">
        <v>286</v>
      </c>
      <c r="F5" s="58" t="s">
        <v>287</v>
      </c>
      <c r="G5" s="58" t="s">
        <v>288</v>
      </c>
      <c r="H5" s="58" t="s">
        <v>289</v>
      </c>
      <c r="I5" s="58" t="s">
        <v>290</v>
      </c>
      <c r="J5" s="58" t="s">
        <v>291</v>
      </c>
      <c r="K5" s="58" t="s">
        <v>292</v>
      </c>
      <c r="L5" s="58" t="s">
        <v>293</v>
      </c>
      <c r="M5" s="58" t="s">
        <v>294</v>
      </c>
      <c r="N5" s="58" t="s">
        <v>295</v>
      </c>
      <c r="O5" s="58" t="s">
        <v>296</v>
      </c>
      <c r="P5" s="58" t="s">
        <v>297</v>
      </c>
      <c r="Q5" s="58" t="s">
        <v>298</v>
      </c>
      <c r="R5" s="58" t="s">
        <v>299</v>
      </c>
      <c r="S5" s="58" t="s">
        <v>300</v>
      </c>
      <c r="T5" s="58" t="s">
        <v>301</v>
      </c>
      <c r="U5" s="58" t="s">
        <v>302</v>
      </c>
      <c r="V5" s="58" t="s">
        <v>303</v>
      </c>
      <c r="W5" s="58" t="s">
        <v>304</v>
      </c>
      <c r="X5" s="58" t="s">
        <v>305</v>
      </c>
      <c r="Y5" s="58" t="s">
        <v>306</v>
      </c>
      <c r="Z5" s="58" t="s">
        <v>307</v>
      </c>
      <c r="AA5" s="58" t="s">
        <v>308</v>
      </c>
      <c r="AB5" s="58" t="s">
        <v>309</v>
      </c>
      <c r="AC5" s="58" t="s">
        <v>310</v>
      </c>
      <c r="AD5" s="58" t="s">
        <v>311</v>
      </c>
      <c r="AE5" s="58" t="s">
        <v>312</v>
      </c>
      <c r="AF5" s="58" t="s">
        <v>313</v>
      </c>
      <c r="AG5" s="58" t="s">
        <v>314</v>
      </c>
    </row>
    <row r="6" customFormat="false" ht="15" hidden="false" customHeight="true" outlineLevel="0" collapsed="false">
      <c r="D6" s="59" t="s">
        <v>315</v>
      </c>
      <c r="E6" s="59" t="s">
        <v>316</v>
      </c>
      <c r="F6" s="59" t="s">
        <v>317</v>
      </c>
      <c r="G6" s="59" t="s">
        <v>318</v>
      </c>
      <c r="H6" s="59" t="s">
        <v>319</v>
      </c>
      <c r="I6" s="59" t="s">
        <v>320</v>
      </c>
      <c r="J6" s="59" t="s">
        <v>321</v>
      </c>
      <c r="K6" s="59" t="s">
        <v>322</v>
      </c>
      <c r="L6" s="59" t="s">
        <v>323</v>
      </c>
      <c r="M6" s="59" t="s">
        <v>324</v>
      </c>
      <c r="N6" s="59" t="s">
        <v>325</v>
      </c>
      <c r="O6" s="59" t="s">
        <v>326</v>
      </c>
      <c r="P6" s="59" t="s">
        <v>327</v>
      </c>
      <c r="Q6" s="59" t="s">
        <v>328</v>
      </c>
      <c r="R6" s="59" t="s">
        <v>329</v>
      </c>
      <c r="S6" s="59" t="s">
        <v>330</v>
      </c>
      <c r="T6" s="59" t="s">
        <v>331</v>
      </c>
      <c r="U6" s="59" t="s">
        <v>332</v>
      </c>
      <c r="V6" s="59" t="s">
        <v>333</v>
      </c>
      <c r="W6" s="59" t="s">
        <v>334</v>
      </c>
      <c r="X6" s="59" t="s">
        <v>335</v>
      </c>
      <c r="Y6" s="59" t="s">
        <v>336</v>
      </c>
      <c r="Z6" s="59" t="s">
        <v>337</v>
      </c>
      <c r="AA6" s="59" t="s">
        <v>338</v>
      </c>
      <c r="AB6" s="59" t="s">
        <v>339</v>
      </c>
      <c r="AC6" s="59" t="s">
        <v>340</v>
      </c>
      <c r="AD6" s="59" t="s">
        <v>341</v>
      </c>
      <c r="AE6" s="59" t="s">
        <v>342</v>
      </c>
      <c r="AF6" s="59" t="s">
        <v>343</v>
      </c>
      <c r="AG6" s="59" t="s">
        <v>344</v>
      </c>
    </row>
    <row r="7" customFormat="false" ht="15" hidden="false" customHeight="true" outlineLevel="0" collapsed="false">
      <c r="B7" s="36" t="s">
        <v>345</v>
      </c>
      <c r="D7" s="60" t="n">
        <v>1</v>
      </c>
      <c r="E7" s="60" t="n">
        <v>2</v>
      </c>
      <c r="F7" s="60" t="n">
        <v>3</v>
      </c>
      <c r="G7" s="60" t="n">
        <v>4</v>
      </c>
      <c r="H7" s="60" t="n">
        <v>5</v>
      </c>
      <c r="I7" s="60" t="n">
        <v>6</v>
      </c>
      <c r="J7" s="60" t="n">
        <v>7</v>
      </c>
      <c r="K7" s="60" t="n">
        <v>8</v>
      </c>
      <c r="L7" s="60" t="n">
        <v>9</v>
      </c>
      <c r="M7" s="60" t="n">
        <v>10</v>
      </c>
      <c r="N7" s="60" t="n">
        <v>11</v>
      </c>
      <c r="O7" s="60" t="n">
        <v>12</v>
      </c>
      <c r="P7" s="60" t="n">
        <v>13</v>
      </c>
      <c r="Q7" s="60" t="n">
        <v>14</v>
      </c>
      <c r="R7" s="60" t="n">
        <v>15</v>
      </c>
      <c r="S7" s="60" t="n">
        <v>16</v>
      </c>
      <c r="T7" s="60" t="n">
        <v>17</v>
      </c>
      <c r="U7" s="60" t="n">
        <v>18</v>
      </c>
      <c r="V7" s="60" t="n">
        <v>19</v>
      </c>
      <c r="W7" s="60" t="n">
        <v>20</v>
      </c>
      <c r="X7" s="60" t="n">
        <v>21</v>
      </c>
      <c r="Y7" s="60" t="n">
        <v>22</v>
      </c>
      <c r="Z7" s="60" t="n">
        <v>23</v>
      </c>
      <c r="AA7" s="60" t="n">
        <v>24</v>
      </c>
      <c r="AB7" s="60" t="n">
        <v>25</v>
      </c>
      <c r="AC7" s="60" t="n">
        <v>26</v>
      </c>
      <c r="AD7" s="60" t="n">
        <v>27</v>
      </c>
      <c r="AE7" s="60" t="n">
        <v>28</v>
      </c>
      <c r="AF7" s="60" t="n">
        <v>29</v>
      </c>
      <c r="AG7" s="60" t="n">
        <v>30</v>
      </c>
    </row>
    <row r="9" customFormat="false" ht="21.75" hidden="false" customHeight="true" outlineLevel="0" collapsed="false">
      <c r="B9" s="61" t="s">
        <v>427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  <row r="10" customFormat="false" ht="15" hidden="false" customHeight="true" outlineLevel="0" collapsed="false">
      <c r="B10" s="35" t="s">
        <v>7</v>
      </c>
      <c r="D10" s="41" t="n">
        <f aca="false">'04_CAPEX'!$I$33</f>
        <v>4551.25725</v>
      </c>
    </row>
    <row r="11" customFormat="false" ht="15" hidden="false" customHeight="true" outlineLevel="0" collapsed="false">
      <c r="B11" s="35" t="s">
        <v>428</v>
      </c>
      <c r="D11" s="71" t="n">
        <f aca="false">D10*'02_Assumptions'!$D$68</f>
        <v>2958.3172125</v>
      </c>
    </row>
    <row r="12" customFormat="false" ht="15" hidden="false" customHeight="true" outlineLevel="0" collapsed="false">
      <c r="B12" s="65" t="s">
        <v>429</v>
      </c>
      <c r="D12" s="71" t="n">
        <f aca="false">D11*0.6</f>
        <v>1774.9903275</v>
      </c>
    </row>
    <row r="13" customFormat="false" ht="15" hidden="false" customHeight="true" outlineLevel="0" collapsed="false">
      <c r="B13" s="65" t="s">
        <v>430</v>
      </c>
      <c r="D13" s="71" t="n">
        <f aca="false">D11*0.4</f>
        <v>1183.326885</v>
      </c>
    </row>
    <row r="14" customFormat="false" ht="15" hidden="false" customHeight="true" outlineLevel="0" collapsed="false">
      <c r="B14" s="35" t="s">
        <v>431</v>
      </c>
      <c r="D14" s="71" t="n">
        <f aca="false">D10-D11</f>
        <v>1592.9400375</v>
      </c>
    </row>
    <row r="16" customFormat="false" ht="21.75" hidden="false" customHeight="true" outlineLevel="0" collapsed="false">
      <c r="B16" s="61" t="s">
        <v>432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</row>
    <row r="17" customFormat="false" ht="15" hidden="false" customHeight="true" outlineLevel="0" collapsed="false">
      <c r="B17" s="65" t="s">
        <v>433</v>
      </c>
      <c r="C17" s="63" t="s">
        <v>351</v>
      </c>
      <c r="D17" s="66" t="n">
        <f aca="false">$D$12</f>
        <v>1774.9903275</v>
      </c>
      <c r="E17" s="66" t="n">
        <f aca="false">D21</f>
        <v>1774.9903275</v>
      </c>
      <c r="F17" s="66" t="n">
        <f aca="false">E21</f>
        <v>1774.9903275</v>
      </c>
      <c r="G17" s="66" t="n">
        <f aca="false">F21</f>
        <v>1727.69677573424</v>
      </c>
      <c r="H17" s="66" t="n">
        <f aca="false">G21</f>
        <v>1675.43740103306</v>
      </c>
      <c r="I17" s="66" t="n">
        <f aca="false">H21</f>
        <v>1617.69079198827</v>
      </c>
      <c r="J17" s="66" t="n">
        <f aca="false">I21</f>
        <v>1553.88078899377</v>
      </c>
      <c r="K17" s="66" t="n">
        <f aca="false">J21</f>
        <v>1483.37073568485</v>
      </c>
      <c r="L17" s="66" t="n">
        <f aca="false">K21</f>
        <v>1405.4571267785</v>
      </c>
      <c r="M17" s="66" t="n">
        <f aca="false">L21</f>
        <v>1319.36258893697</v>
      </c>
      <c r="N17" s="66" t="n">
        <f aca="false">M21</f>
        <v>1224.22812462209</v>
      </c>
      <c r="O17" s="66" t="n">
        <f aca="false">N21</f>
        <v>1119.10454155415</v>
      </c>
      <c r="P17" s="66" t="n">
        <f aca="false">O21</f>
        <v>1002.94298226407</v>
      </c>
      <c r="Q17" s="66" t="n">
        <f aca="false">P21</f>
        <v>874.584459248527</v>
      </c>
      <c r="R17" s="66" t="n">
        <f aca="false">Q21</f>
        <v>732.748291316356</v>
      </c>
      <c r="S17" s="66" t="n">
        <f aca="false">R21</f>
        <v>576.019325751308</v>
      </c>
      <c r="T17" s="66" t="n">
        <f aca="false">S21</f>
        <v>402.83381880193</v>
      </c>
      <c r="U17" s="66" t="n">
        <f aca="false">T21</f>
        <v>211.463833622867</v>
      </c>
      <c r="V17" s="66" t="n">
        <f aca="false">U21</f>
        <v>2.38742359215394E-012</v>
      </c>
      <c r="W17" s="66" t="n">
        <f aca="false">V21</f>
        <v>2.38742359215394E-012</v>
      </c>
      <c r="X17" s="66" t="n">
        <f aca="false">W21</f>
        <v>2.38742359215394E-012</v>
      </c>
      <c r="Y17" s="66" t="n">
        <f aca="false">X21</f>
        <v>2.38742359215394E-012</v>
      </c>
      <c r="Z17" s="66" t="n">
        <f aca="false">Y21</f>
        <v>2.38742359215394E-012</v>
      </c>
      <c r="AA17" s="66" t="n">
        <f aca="false">Z21</f>
        <v>2.38742359215394E-012</v>
      </c>
      <c r="AB17" s="66" t="n">
        <f aca="false">AA21</f>
        <v>2.38742359215394E-012</v>
      </c>
      <c r="AC17" s="66" t="n">
        <f aca="false">AB21</f>
        <v>2.38742359215394E-012</v>
      </c>
      <c r="AD17" s="66" t="n">
        <f aca="false">AC21</f>
        <v>2.38742359215394E-012</v>
      </c>
      <c r="AE17" s="66" t="n">
        <f aca="false">AD21</f>
        <v>2.38742359215394E-012</v>
      </c>
      <c r="AF17" s="66" t="n">
        <f aca="false">AE21</f>
        <v>2.38742359215394E-012</v>
      </c>
      <c r="AG17" s="66" t="n">
        <f aca="false">AF21</f>
        <v>2.38742359215394E-012</v>
      </c>
    </row>
    <row r="18" customFormat="false" ht="15" hidden="false" customHeight="true" outlineLevel="0" collapsed="false">
      <c r="B18" s="65" t="s">
        <v>434</v>
      </c>
      <c r="C18" s="63" t="s">
        <v>351</v>
      </c>
      <c r="D18" s="66" t="n">
        <f aca="false">D17*'02_Assumptions'!$D$66</f>
        <v>186.3739843875</v>
      </c>
      <c r="E18" s="66" t="n">
        <f aca="false">E17*'02_Assumptions'!$D$66</f>
        <v>186.3739843875</v>
      </c>
      <c r="F18" s="66" t="n">
        <f aca="false">F17*'02_Assumptions'!$D$66</f>
        <v>186.3739843875</v>
      </c>
      <c r="G18" s="66" t="n">
        <f aca="false">G17*'02_Assumptions'!$D$66</f>
        <v>181.408161452095</v>
      </c>
      <c r="H18" s="66" t="n">
        <f aca="false">H17*'02_Assumptions'!$D$66</f>
        <v>175.920927108472</v>
      </c>
      <c r="I18" s="66" t="n">
        <f aca="false">I17*'02_Assumptions'!$D$66</f>
        <v>169.857533158768</v>
      </c>
      <c r="J18" s="66" t="n">
        <f aca="false">J17*'02_Assumptions'!$D$66</f>
        <v>163.157482844346</v>
      </c>
      <c r="K18" s="66" t="n">
        <f aca="false">K17*'02_Assumptions'!$D$66</f>
        <v>155.75392724691</v>
      </c>
      <c r="L18" s="66" t="n">
        <f aca="false">L17*'02_Assumptions'!$D$66</f>
        <v>147.572998311742</v>
      </c>
      <c r="M18" s="66" t="n">
        <f aca="false">M17*'02_Assumptions'!$D$66</f>
        <v>138.533071838382</v>
      </c>
      <c r="N18" s="66" t="n">
        <f aca="false">N17*'02_Assumptions'!$D$66</f>
        <v>128.54395308532</v>
      </c>
      <c r="O18" s="66" t="n">
        <f aca="false">O17*'02_Assumptions'!$D$66</f>
        <v>117.505976863185</v>
      </c>
      <c r="P18" s="66" t="n">
        <f aca="false">P17*'02_Assumptions'!$D$66</f>
        <v>105.309013137727</v>
      </c>
      <c r="Q18" s="66" t="n">
        <f aca="false">Q17*'02_Assumptions'!$D$66</f>
        <v>91.8313682210953</v>
      </c>
      <c r="R18" s="66" t="n">
        <f aca="false">R17*'02_Assumptions'!$D$66</f>
        <v>76.9385705882174</v>
      </c>
      <c r="S18" s="66" t="n">
        <f aca="false">S17*'02_Assumptions'!$D$66</f>
        <v>60.4820292038874</v>
      </c>
      <c r="T18" s="66" t="n">
        <f aca="false">T17*'02_Assumptions'!$D$66</f>
        <v>42.2975509742026</v>
      </c>
      <c r="U18" s="66" t="n">
        <f aca="false">U17*'02_Assumptions'!$D$66</f>
        <v>22.203702530401</v>
      </c>
      <c r="V18" s="66" t="n">
        <f aca="false">V17*'02_Assumptions'!$D$66</f>
        <v>2.50679477176163E-013</v>
      </c>
      <c r="W18" s="66" t="n">
        <f aca="false">W17*'02_Assumptions'!$D$66</f>
        <v>2.50679477176163E-013</v>
      </c>
      <c r="X18" s="66" t="n">
        <f aca="false">X17*'02_Assumptions'!$D$66</f>
        <v>2.50679477176163E-013</v>
      </c>
      <c r="Y18" s="66" t="n">
        <f aca="false">Y17*'02_Assumptions'!$D$66</f>
        <v>2.50679477176163E-013</v>
      </c>
      <c r="Z18" s="66" t="n">
        <f aca="false">Z17*'02_Assumptions'!$D$66</f>
        <v>2.50679477176163E-013</v>
      </c>
      <c r="AA18" s="66" t="n">
        <f aca="false">AA17*'02_Assumptions'!$D$66</f>
        <v>2.50679477176163E-013</v>
      </c>
      <c r="AB18" s="66" t="n">
        <f aca="false">AB17*'02_Assumptions'!$D$66</f>
        <v>2.50679477176163E-013</v>
      </c>
      <c r="AC18" s="66" t="n">
        <f aca="false">AC17*'02_Assumptions'!$D$66</f>
        <v>2.50679477176163E-013</v>
      </c>
      <c r="AD18" s="66" t="n">
        <f aca="false">AD17*'02_Assumptions'!$D$66</f>
        <v>2.50679477176163E-013</v>
      </c>
      <c r="AE18" s="66" t="n">
        <f aca="false">AE17*'02_Assumptions'!$D$66</f>
        <v>2.50679477176163E-013</v>
      </c>
      <c r="AF18" s="66" t="n">
        <f aca="false">AF17*'02_Assumptions'!$D$66</f>
        <v>2.50679477176163E-013</v>
      </c>
      <c r="AG18" s="66" t="n">
        <f aca="false">AG17*'02_Assumptions'!$D$66</f>
        <v>2.50679477176163E-013</v>
      </c>
    </row>
    <row r="19" customFormat="false" ht="15" hidden="false" customHeight="true" outlineLevel="0" collapsed="false">
      <c r="B19" s="65" t="s">
        <v>435</v>
      </c>
      <c r="C19" s="63" t="s">
        <v>351</v>
      </c>
      <c r="D19" s="66" t="n">
        <f aca="false">IF(D$7&lt;=2,0,IF(D$7&lt;=18,-PMT('02_Assumptions'!$D$66,16,$D$12)-D18,0))</f>
        <v>0</v>
      </c>
      <c r="E19" s="66" t="n">
        <f aca="false">IF(E$7&lt;=2,0,IF(E$7&lt;=18,-PMT('02_Assumptions'!$D$66,16,$D$12)-E18,0))</f>
        <v>0</v>
      </c>
      <c r="F19" s="66" t="n">
        <f aca="false">IF(F$7&lt;=2,0,IF(F$7&lt;=18,-PMT('02_Assumptions'!$D$66,16,$D$12)-F18,0))</f>
        <v>47.2935517657655</v>
      </c>
      <c r="G19" s="66" t="n">
        <f aca="false">IF(G$7&lt;=2,0,IF(G$7&lt;=18,-PMT('02_Assumptions'!$D$66,16,$D$12)-G18,0))</f>
        <v>52.2593747011709</v>
      </c>
      <c r="H19" s="66" t="n">
        <f aca="false">IF(H$7&lt;=2,0,IF(H$7&lt;=18,-PMT('02_Assumptions'!$D$66,16,$D$12)-H18,0))</f>
        <v>57.7466090447938</v>
      </c>
      <c r="I19" s="66" t="n">
        <f aca="false">IF(I$7&lt;=2,0,IF(I$7&lt;=18,-PMT('02_Assumptions'!$D$66,16,$D$12)-I18,0))</f>
        <v>63.8100029944972</v>
      </c>
      <c r="J19" s="66" t="n">
        <f aca="false">IF(J$7&lt;=2,0,IF(J$7&lt;=18,-PMT('02_Assumptions'!$D$66,16,$D$12)-J18,0))</f>
        <v>70.5100533089194</v>
      </c>
      <c r="K19" s="66" t="n">
        <f aca="false">IF(K$7&lt;=2,0,IF(K$7&lt;=18,-PMT('02_Assumptions'!$D$66,16,$D$12)-K18,0))</f>
        <v>77.9136089063559</v>
      </c>
      <c r="L19" s="66" t="n">
        <f aca="false">IF(L$7&lt;=2,0,IF(L$7&lt;=18,-PMT('02_Assumptions'!$D$66,16,$D$12)-L18,0))</f>
        <v>86.0945378415233</v>
      </c>
      <c r="M19" s="66" t="n">
        <f aca="false">IF(M$7&lt;=2,0,IF(M$7&lt;=18,-PMT('02_Assumptions'!$D$66,16,$D$12)-M18,0))</f>
        <v>95.1344643148833</v>
      </c>
      <c r="N19" s="66" t="n">
        <f aca="false">IF(N$7&lt;=2,0,IF(N$7&lt;=18,-PMT('02_Assumptions'!$D$66,16,$D$12)-N18,0))</f>
        <v>105.123583067946</v>
      </c>
      <c r="O19" s="66" t="n">
        <f aca="false">IF(O$7&lt;=2,0,IF(O$7&lt;=18,-PMT('02_Assumptions'!$D$66,16,$D$12)-O18,0))</f>
        <v>116.16155929008</v>
      </c>
      <c r="P19" s="66" t="n">
        <f aca="false">IF(P$7&lt;=2,0,IF(P$7&lt;=18,-PMT('02_Assumptions'!$D$66,16,$D$12)-P18,0))</f>
        <v>128.358523015539</v>
      </c>
      <c r="Q19" s="66" t="n">
        <f aca="false">IF(Q$7&lt;=2,0,IF(Q$7&lt;=18,-PMT('02_Assumptions'!$D$66,16,$D$12)-Q18,0))</f>
        <v>141.83616793217</v>
      </c>
      <c r="R19" s="66" t="n">
        <f aca="false">IF(R$7&lt;=2,0,IF(R$7&lt;=18,-PMT('02_Assumptions'!$D$66,16,$D$12)-R18,0))</f>
        <v>156.728965565048</v>
      </c>
      <c r="S19" s="66" t="n">
        <f aca="false">IF(S$7&lt;=2,0,IF(S$7&lt;=18,-PMT('02_Assumptions'!$D$66,16,$D$12)-S18,0))</f>
        <v>173.185506949378</v>
      </c>
      <c r="T19" s="66" t="n">
        <f aca="false">IF(T$7&lt;=2,0,IF(T$7&lt;=18,-PMT('02_Assumptions'!$D$66,16,$D$12)-T18,0))</f>
        <v>191.369985179063</v>
      </c>
      <c r="U19" s="66" t="n">
        <f aca="false">IF(U$7&lt;=2,0,IF(U$7&lt;=18,-PMT('02_Assumptions'!$D$66,16,$D$12)-U18,0))</f>
        <v>211.463833622865</v>
      </c>
      <c r="V19" s="66" t="n">
        <f aca="false">IF(V$7&lt;=2,0,IF(V$7&lt;=18,-PMT('02_Assumptions'!$D$66,16,$D$12)-V18,0))</f>
        <v>0</v>
      </c>
      <c r="W19" s="66" t="n">
        <f aca="false">IF(W$7&lt;=2,0,IF(W$7&lt;=18,-PMT('02_Assumptions'!$D$66,16,$D$12)-W18,0))</f>
        <v>0</v>
      </c>
      <c r="X19" s="66" t="n">
        <f aca="false">IF(X$7&lt;=2,0,IF(X$7&lt;=18,-PMT('02_Assumptions'!$D$66,16,$D$12)-X18,0))</f>
        <v>0</v>
      </c>
      <c r="Y19" s="66" t="n">
        <f aca="false">IF(Y$7&lt;=2,0,IF(Y$7&lt;=18,-PMT('02_Assumptions'!$D$66,16,$D$12)-Y18,0))</f>
        <v>0</v>
      </c>
      <c r="Z19" s="66" t="n">
        <f aca="false">IF(Z$7&lt;=2,0,IF(Z$7&lt;=18,-PMT('02_Assumptions'!$D$66,16,$D$12)-Z18,0))</f>
        <v>0</v>
      </c>
      <c r="AA19" s="66" t="n">
        <f aca="false">IF(AA$7&lt;=2,0,IF(AA$7&lt;=18,-PMT('02_Assumptions'!$D$66,16,$D$12)-AA18,0))</f>
        <v>0</v>
      </c>
      <c r="AB19" s="66" t="n">
        <f aca="false">IF(AB$7&lt;=2,0,IF(AB$7&lt;=18,-PMT('02_Assumptions'!$D$66,16,$D$12)-AB18,0))</f>
        <v>0</v>
      </c>
      <c r="AC19" s="66" t="n">
        <f aca="false">IF(AC$7&lt;=2,0,IF(AC$7&lt;=18,-PMT('02_Assumptions'!$D$66,16,$D$12)-AC18,0))</f>
        <v>0</v>
      </c>
      <c r="AD19" s="66" t="n">
        <f aca="false">IF(AD$7&lt;=2,0,IF(AD$7&lt;=18,-PMT('02_Assumptions'!$D$66,16,$D$12)-AD18,0))</f>
        <v>0</v>
      </c>
      <c r="AE19" s="66" t="n">
        <f aca="false">IF(AE$7&lt;=2,0,IF(AE$7&lt;=18,-PMT('02_Assumptions'!$D$66,16,$D$12)-AE18,0))</f>
        <v>0</v>
      </c>
      <c r="AF19" s="66" t="n">
        <f aca="false">IF(AF$7&lt;=2,0,IF(AF$7&lt;=18,-PMT('02_Assumptions'!$D$66,16,$D$12)-AF18,0))</f>
        <v>0</v>
      </c>
      <c r="AG19" s="66" t="n">
        <f aca="false">IF(AG$7&lt;=2,0,IF(AG$7&lt;=18,-PMT('02_Assumptions'!$D$66,16,$D$12)-AG18,0))</f>
        <v>0</v>
      </c>
    </row>
    <row r="20" customFormat="false" ht="15" hidden="false" customHeight="true" outlineLevel="0" collapsed="false">
      <c r="B20" s="95" t="s">
        <v>436</v>
      </c>
      <c r="C20" s="96" t="s">
        <v>351</v>
      </c>
      <c r="D20" s="97" t="n">
        <f aca="false">D18+D19</f>
        <v>186.3739843875</v>
      </c>
      <c r="E20" s="97" t="n">
        <f aca="false">E18+E19</f>
        <v>186.3739843875</v>
      </c>
      <c r="F20" s="97" t="n">
        <f aca="false">F18+F19</f>
        <v>233.667536153266</v>
      </c>
      <c r="G20" s="97" t="n">
        <f aca="false">G18+G19</f>
        <v>233.667536153266</v>
      </c>
      <c r="H20" s="97" t="n">
        <f aca="false">H18+H19</f>
        <v>233.667536153266</v>
      </c>
      <c r="I20" s="97" t="n">
        <f aca="false">I18+I19</f>
        <v>233.667536153266</v>
      </c>
      <c r="J20" s="97" t="n">
        <f aca="false">J18+J19</f>
        <v>233.667536153266</v>
      </c>
      <c r="K20" s="97" t="n">
        <f aca="false">K18+K19</f>
        <v>233.667536153266</v>
      </c>
      <c r="L20" s="97" t="n">
        <f aca="false">L18+L19</f>
        <v>233.667536153266</v>
      </c>
      <c r="M20" s="97" t="n">
        <f aca="false">M18+M19</f>
        <v>233.667536153266</v>
      </c>
      <c r="N20" s="97" t="n">
        <f aca="false">N18+N19</f>
        <v>233.667536153266</v>
      </c>
      <c r="O20" s="97" t="n">
        <f aca="false">O18+O19</f>
        <v>233.667536153266</v>
      </c>
      <c r="P20" s="97" t="n">
        <f aca="false">P18+P19</f>
        <v>233.667536153266</v>
      </c>
      <c r="Q20" s="97" t="n">
        <f aca="false">Q18+Q19</f>
        <v>233.667536153266</v>
      </c>
      <c r="R20" s="97" t="n">
        <f aca="false">R18+R19</f>
        <v>233.667536153266</v>
      </c>
      <c r="S20" s="97" t="n">
        <f aca="false">S18+S19</f>
        <v>233.667536153266</v>
      </c>
      <c r="T20" s="97" t="n">
        <f aca="false">T18+T19</f>
        <v>233.667536153266</v>
      </c>
      <c r="U20" s="97" t="n">
        <f aca="false">U18+U19</f>
        <v>233.667536153266</v>
      </c>
      <c r="V20" s="97" t="n">
        <f aca="false">V18+V19</f>
        <v>2.50679477176163E-013</v>
      </c>
      <c r="W20" s="97" t="n">
        <f aca="false">W18+W19</f>
        <v>2.50679477176163E-013</v>
      </c>
      <c r="X20" s="97" t="n">
        <f aca="false">X18+X19</f>
        <v>2.50679477176163E-013</v>
      </c>
      <c r="Y20" s="97" t="n">
        <f aca="false">Y18+Y19</f>
        <v>2.50679477176163E-013</v>
      </c>
      <c r="Z20" s="97" t="n">
        <f aca="false">Z18+Z19</f>
        <v>2.50679477176163E-013</v>
      </c>
      <c r="AA20" s="97" t="n">
        <f aca="false">AA18+AA19</f>
        <v>2.50679477176163E-013</v>
      </c>
      <c r="AB20" s="97" t="n">
        <f aca="false">AB18+AB19</f>
        <v>2.50679477176163E-013</v>
      </c>
      <c r="AC20" s="97" t="n">
        <f aca="false">AC18+AC19</f>
        <v>2.50679477176163E-013</v>
      </c>
      <c r="AD20" s="97" t="n">
        <f aca="false">AD18+AD19</f>
        <v>2.50679477176163E-013</v>
      </c>
      <c r="AE20" s="97" t="n">
        <f aca="false">AE18+AE19</f>
        <v>2.50679477176163E-013</v>
      </c>
      <c r="AF20" s="97" t="n">
        <f aca="false">AF18+AF19</f>
        <v>2.50679477176163E-013</v>
      </c>
      <c r="AG20" s="97" t="n">
        <f aca="false">AG18+AG19</f>
        <v>2.50679477176163E-013</v>
      </c>
    </row>
    <row r="21" customFormat="false" ht="15" hidden="false" customHeight="true" outlineLevel="0" collapsed="false">
      <c r="B21" s="65" t="s">
        <v>437</v>
      </c>
      <c r="C21" s="63" t="s">
        <v>351</v>
      </c>
      <c r="D21" s="66" t="n">
        <f aca="false">D17-D19</f>
        <v>1774.9903275</v>
      </c>
      <c r="E21" s="66" t="n">
        <f aca="false">E17-E19</f>
        <v>1774.9903275</v>
      </c>
      <c r="F21" s="66" t="n">
        <f aca="false">F17-F19</f>
        <v>1727.69677573424</v>
      </c>
      <c r="G21" s="66" t="n">
        <f aca="false">G17-G19</f>
        <v>1675.43740103306</v>
      </c>
      <c r="H21" s="66" t="n">
        <f aca="false">H17-H19</f>
        <v>1617.69079198827</v>
      </c>
      <c r="I21" s="66" t="n">
        <f aca="false">I17-I19</f>
        <v>1553.88078899377</v>
      </c>
      <c r="J21" s="66" t="n">
        <f aca="false">J17-J19</f>
        <v>1483.37073568485</v>
      </c>
      <c r="K21" s="66" t="n">
        <f aca="false">K17-K19</f>
        <v>1405.4571267785</v>
      </c>
      <c r="L21" s="66" t="n">
        <f aca="false">L17-L19</f>
        <v>1319.36258893697</v>
      </c>
      <c r="M21" s="66" t="n">
        <f aca="false">M17-M19</f>
        <v>1224.22812462209</v>
      </c>
      <c r="N21" s="66" t="n">
        <f aca="false">N17-N19</f>
        <v>1119.10454155415</v>
      </c>
      <c r="O21" s="66" t="n">
        <f aca="false">O17-O19</f>
        <v>1002.94298226407</v>
      </c>
      <c r="P21" s="66" t="n">
        <f aca="false">P17-P19</f>
        <v>874.584459248527</v>
      </c>
      <c r="Q21" s="66" t="n">
        <f aca="false">Q17-Q19</f>
        <v>732.748291316356</v>
      </c>
      <c r="R21" s="66" t="n">
        <f aca="false">R17-R19</f>
        <v>576.019325751308</v>
      </c>
      <c r="S21" s="66" t="n">
        <f aca="false">S17-S19</f>
        <v>402.83381880193</v>
      </c>
      <c r="T21" s="66" t="n">
        <f aca="false">T17-T19</f>
        <v>211.463833622867</v>
      </c>
      <c r="U21" s="66" t="n">
        <f aca="false">U17-U19</f>
        <v>2.38742359215394E-012</v>
      </c>
      <c r="V21" s="66" t="n">
        <f aca="false">V17-V19</f>
        <v>2.38742359215394E-012</v>
      </c>
      <c r="W21" s="66" t="n">
        <f aca="false">W17-W19</f>
        <v>2.38742359215394E-012</v>
      </c>
      <c r="X21" s="66" t="n">
        <f aca="false">X17-X19</f>
        <v>2.38742359215394E-012</v>
      </c>
      <c r="Y21" s="66" t="n">
        <f aca="false">Y17-Y19</f>
        <v>2.38742359215394E-012</v>
      </c>
      <c r="Z21" s="66" t="n">
        <f aca="false">Z17-Z19</f>
        <v>2.38742359215394E-012</v>
      </c>
      <c r="AA21" s="66" t="n">
        <f aca="false">AA17-AA19</f>
        <v>2.38742359215394E-012</v>
      </c>
      <c r="AB21" s="66" t="n">
        <f aca="false">AB17-AB19</f>
        <v>2.38742359215394E-012</v>
      </c>
      <c r="AC21" s="66" t="n">
        <f aca="false">AC17-AC19</f>
        <v>2.38742359215394E-012</v>
      </c>
      <c r="AD21" s="66" t="n">
        <f aca="false">AD17-AD19</f>
        <v>2.38742359215394E-012</v>
      </c>
      <c r="AE21" s="66" t="n">
        <f aca="false">AE17-AE19</f>
        <v>2.38742359215394E-012</v>
      </c>
      <c r="AF21" s="66" t="n">
        <f aca="false">AF17-AF19</f>
        <v>2.38742359215394E-012</v>
      </c>
      <c r="AG21" s="66" t="n">
        <f aca="false">AG17-AG19</f>
        <v>2.38742359215394E-012</v>
      </c>
    </row>
    <row r="23" customFormat="false" ht="21.75" hidden="false" customHeight="true" outlineLevel="0" collapsed="false">
      <c r="B23" s="61" t="s">
        <v>438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</row>
    <row r="25" customFormat="false" ht="15" hidden="false" customHeight="true" outlineLevel="0" collapsed="false">
      <c r="B25" s="65" t="s">
        <v>439</v>
      </c>
      <c r="C25" s="63" t="s">
        <v>351</v>
      </c>
      <c r="D25" s="66" t="n">
        <f aca="false">$D$13</f>
        <v>1183.326885</v>
      </c>
      <c r="E25" s="66" t="n">
        <f aca="false">D29</f>
        <v>1183.326885</v>
      </c>
      <c r="F25" s="66" t="n">
        <f aca="false">E29</f>
        <v>1183.326885</v>
      </c>
      <c r="G25" s="66" t="n">
        <f aca="false">F29</f>
        <v>1150.15946562762</v>
      </c>
      <c r="H25" s="66" t="n">
        <f aca="false">G29</f>
        <v>1114.50448980231</v>
      </c>
      <c r="I25" s="66" t="n">
        <f aca="false">H29</f>
        <v>1076.1753907901</v>
      </c>
      <c r="J25" s="66" t="n">
        <f aca="false">I29</f>
        <v>1034.97160935197</v>
      </c>
      <c r="K25" s="66" t="n">
        <f aca="false">J29</f>
        <v>990.677544305984</v>
      </c>
      <c r="L25" s="66" t="n">
        <f aca="false">K29</f>
        <v>943.061424381549</v>
      </c>
      <c r="M25" s="66" t="n">
        <f aca="false">L29</f>
        <v>891.874095462782</v>
      </c>
      <c r="N25" s="66" t="n">
        <f aca="false">M29</f>
        <v>836.847716875108</v>
      </c>
      <c r="O25" s="66" t="n">
        <f aca="false">N29</f>
        <v>777.694359893358</v>
      </c>
      <c r="P25" s="66" t="n">
        <f aca="false">O29</f>
        <v>714.104501137976</v>
      </c>
      <c r="Q25" s="66" t="n">
        <f aca="false">P29</f>
        <v>645.745402975941</v>
      </c>
      <c r="R25" s="66" t="n">
        <f aca="false">Q29</f>
        <v>572.259372451754</v>
      </c>
      <c r="S25" s="66" t="n">
        <f aca="false">R29</f>
        <v>493.261889638252</v>
      </c>
      <c r="T25" s="66" t="n">
        <f aca="false">S29</f>
        <v>408.339595613738</v>
      </c>
      <c r="U25" s="66" t="n">
        <f aca="false">T29</f>
        <v>317.048129537385</v>
      </c>
      <c r="V25" s="66" t="n">
        <f aca="false">U29</f>
        <v>218.909803505306</v>
      </c>
      <c r="W25" s="66" t="n">
        <f aca="false">V29</f>
        <v>113.411103020821</v>
      </c>
      <c r="X25" s="66" t="n">
        <f aca="false">W29</f>
        <v>-8.38440428196918E-013</v>
      </c>
      <c r="Y25" s="66" t="n">
        <f aca="false">X29</f>
        <v>-8.38440428196918E-013</v>
      </c>
      <c r="Z25" s="66" t="n">
        <f aca="false">Y29</f>
        <v>-8.38440428196918E-013</v>
      </c>
      <c r="AA25" s="66" t="n">
        <f aca="false">Z29</f>
        <v>-8.38440428196918E-013</v>
      </c>
      <c r="AB25" s="66" t="n">
        <f aca="false">AA29</f>
        <v>-8.38440428196918E-013</v>
      </c>
      <c r="AC25" s="66" t="n">
        <f aca="false">AB29</f>
        <v>-8.38440428196918E-013</v>
      </c>
      <c r="AD25" s="66" t="n">
        <f aca="false">AC29</f>
        <v>-8.38440428196918E-013</v>
      </c>
      <c r="AE25" s="66" t="n">
        <f aca="false">AD29</f>
        <v>-8.38440428196918E-013</v>
      </c>
      <c r="AF25" s="66" t="n">
        <f aca="false">AE29</f>
        <v>-8.38440428196918E-013</v>
      </c>
      <c r="AG25" s="66" t="n">
        <f aca="false">AF29</f>
        <v>-8.38440428196918E-013</v>
      </c>
    </row>
    <row r="26" customFormat="false" ht="15" hidden="false" customHeight="true" outlineLevel="0" collapsed="false">
      <c r="B26" s="65" t="s">
        <v>440</v>
      </c>
      <c r="C26" s="63" t="s">
        <v>351</v>
      </c>
      <c r="D26" s="66" t="n">
        <f aca="false">D25*'02_Assumptions'!$D$67</f>
        <v>88.749516375</v>
      </c>
      <c r="E26" s="66" t="n">
        <f aca="false">E25*'02_Assumptions'!$D$67</f>
        <v>88.749516375</v>
      </c>
      <c r="F26" s="66" t="n">
        <f aca="false">F25*'02_Assumptions'!$D$67</f>
        <v>88.749516375</v>
      </c>
      <c r="G26" s="66" t="n">
        <f aca="false">G25*'02_Assumptions'!$D$67</f>
        <v>86.2619599220713</v>
      </c>
      <c r="H26" s="66" t="n">
        <f aca="false">H25*'02_Assumptions'!$D$67</f>
        <v>83.5878367351729</v>
      </c>
      <c r="I26" s="66" t="n">
        <f aca="false">I25*'02_Assumptions'!$D$67</f>
        <v>80.7131543092571</v>
      </c>
      <c r="J26" s="66" t="n">
        <f aca="false">J25*'02_Assumptions'!$D$67</f>
        <v>77.6228707013977</v>
      </c>
      <c r="K26" s="66" t="n">
        <f aca="false">K25*'02_Assumptions'!$D$67</f>
        <v>74.3008158229488</v>
      </c>
      <c r="L26" s="66" t="n">
        <f aca="false">L25*'02_Assumptions'!$D$67</f>
        <v>70.7296068286162</v>
      </c>
      <c r="M26" s="66" t="n">
        <f aca="false">M25*'02_Assumptions'!$D$67</f>
        <v>66.8905571597087</v>
      </c>
      <c r="N26" s="66" t="n">
        <f aca="false">N25*'02_Assumptions'!$D$67</f>
        <v>62.7635787656331</v>
      </c>
      <c r="O26" s="66" t="n">
        <f aca="false">O25*'02_Assumptions'!$D$67</f>
        <v>58.3270769920018</v>
      </c>
      <c r="P26" s="66" t="n">
        <f aca="false">P25*'02_Assumptions'!$D$67</f>
        <v>53.5578375853482</v>
      </c>
      <c r="Q26" s="66" t="n">
        <f aca="false">Q25*'02_Assumptions'!$D$67</f>
        <v>48.4309052231956</v>
      </c>
      <c r="R26" s="66" t="n">
        <f aca="false">R25*'02_Assumptions'!$D$67</f>
        <v>42.9194529338815</v>
      </c>
      <c r="S26" s="66" t="n">
        <f aca="false">S25*'02_Assumptions'!$D$67</f>
        <v>36.9946417228689</v>
      </c>
      <c r="T26" s="66" t="n">
        <f aca="false">T25*'02_Assumptions'!$D$67</f>
        <v>30.6254696710303</v>
      </c>
      <c r="U26" s="66" t="n">
        <f aca="false">U25*'02_Assumptions'!$D$67</f>
        <v>23.7786097153039</v>
      </c>
      <c r="V26" s="66" t="n">
        <f aca="false">V25*'02_Assumptions'!$D$67</f>
        <v>16.4182352628979</v>
      </c>
      <c r="W26" s="66" t="n">
        <f aca="false">W25*'02_Assumptions'!$D$67</f>
        <v>8.50583272656156</v>
      </c>
      <c r="X26" s="66" t="n">
        <f aca="false">X25*'02_Assumptions'!$D$67</f>
        <v>-6.28830321147689E-014</v>
      </c>
      <c r="Y26" s="66" t="n">
        <f aca="false">Y25*'02_Assumptions'!$D$67</f>
        <v>-6.28830321147689E-014</v>
      </c>
      <c r="Z26" s="66" t="n">
        <f aca="false">Z25*'02_Assumptions'!$D$67</f>
        <v>-6.28830321147689E-014</v>
      </c>
      <c r="AA26" s="66" t="n">
        <f aca="false">AA25*'02_Assumptions'!$D$67</f>
        <v>-6.28830321147689E-014</v>
      </c>
      <c r="AB26" s="66" t="n">
        <f aca="false">AB25*'02_Assumptions'!$D$67</f>
        <v>-6.28830321147689E-014</v>
      </c>
      <c r="AC26" s="66" t="n">
        <f aca="false">AC25*'02_Assumptions'!$D$67</f>
        <v>-6.28830321147689E-014</v>
      </c>
      <c r="AD26" s="66" t="n">
        <f aca="false">AD25*'02_Assumptions'!$D$67</f>
        <v>-6.28830321147689E-014</v>
      </c>
      <c r="AE26" s="66" t="n">
        <f aca="false">AE25*'02_Assumptions'!$D$67</f>
        <v>-6.28830321147689E-014</v>
      </c>
      <c r="AF26" s="66" t="n">
        <f aca="false">AF25*'02_Assumptions'!$D$67</f>
        <v>-6.28830321147689E-014</v>
      </c>
      <c r="AG26" s="66" t="n">
        <f aca="false">AG25*'02_Assumptions'!$D$67</f>
        <v>-6.28830321147689E-014</v>
      </c>
    </row>
    <row r="27" customFormat="false" ht="15" hidden="false" customHeight="true" outlineLevel="0" collapsed="false">
      <c r="B27" s="65" t="s">
        <v>441</v>
      </c>
      <c r="C27" s="63" t="s">
        <v>351</v>
      </c>
      <c r="D27" s="66" t="n">
        <f aca="false">IF(D$7&lt;=2,0,IF(D$7&lt;=20,-PMT('02_Assumptions'!$D$67,18,$D$13)-D26,0))</f>
        <v>0</v>
      </c>
      <c r="E27" s="66" t="n">
        <f aca="false">IF(E$7&lt;=2,0,IF(E$7&lt;=20,-PMT('02_Assumptions'!$D$67,18,$D$13)-E26,0))</f>
        <v>0</v>
      </c>
      <c r="F27" s="66" t="n">
        <f aca="false">IF(F$7&lt;=2,0,IF(F$7&lt;=20,-PMT('02_Assumptions'!$D$67,18,$D$13)-F26,0))</f>
        <v>33.1674193723831</v>
      </c>
      <c r="G27" s="66" t="n">
        <f aca="false">IF(G$7&lt;=2,0,IF(G$7&lt;=20,-PMT('02_Assumptions'!$D$67,18,$D$13)-G26,0))</f>
        <v>35.6549758253119</v>
      </c>
      <c r="H27" s="66" t="n">
        <f aca="false">IF(H$7&lt;=2,0,IF(H$7&lt;=20,-PMT('02_Assumptions'!$D$67,18,$D$13)-H26,0))</f>
        <v>38.3290990122103</v>
      </c>
      <c r="I27" s="66" t="n">
        <f aca="false">IF(I$7&lt;=2,0,IF(I$7&lt;=20,-PMT('02_Assumptions'!$D$67,18,$D$13)-I26,0))</f>
        <v>41.203781438126</v>
      </c>
      <c r="J27" s="66" t="n">
        <f aca="false">IF(J$7&lt;=2,0,IF(J$7&lt;=20,-PMT('02_Assumptions'!$D$67,18,$D$13)-J26,0))</f>
        <v>44.2940650459855</v>
      </c>
      <c r="K27" s="66" t="n">
        <f aca="false">IF(K$7&lt;=2,0,IF(K$7&lt;=20,-PMT('02_Assumptions'!$D$67,18,$D$13)-K26,0))</f>
        <v>47.6161199244344</v>
      </c>
      <c r="L27" s="66" t="n">
        <f aca="false">IF(L$7&lt;=2,0,IF(L$7&lt;=20,-PMT('02_Assumptions'!$D$67,18,$D$13)-L26,0))</f>
        <v>51.187328918767</v>
      </c>
      <c r="M27" s="66" t="n">
        <f aca="false">IF(M$7&lt;=2,0,IF(M$7&lt;=20,-PMT('02_Assumptions'!$D$67,18,$D$13)-M26,0))</f>
        <v>55.0263785876745</v>
      </c>
      <c r="N27" s="66" t="n">
        <f aca="false">IF(N$7&lt;=2,0,IF(N$7&lt;=20,-PMT('02_Assumptions'!$D$67,18,$D$13)-N26,0))</f>
        <v>59.1533569817501</v>
      </c>
      <c r="O27" s="66" t="n">
        <f aca="false">IF(O$7&lt;=2,0,IF(O$7&lt;=20,-PMT('02_Assumptions'!$D$67,18,$D$13)-O26,0))</f>
        <v>63.5898587553813</v>
      </c>
      <c r="P27" s="66" t="n">
        <f aca="false">IF(P$7&lt;=2,0,IF(P$7&lt;=20,-PMT('02_Assumptions'!$D$67,18,$D$13)-P26,0))</f>
        <v>68.3590981620349</v>
      </c>
      <c r="Q27" s="66" t="n">
        <f aca="false">IF(Q$7&lt;=2,0,IF(Q$7&lt;=20,-PMT('02_Assumptions'!$D$67,18,$D$13)-Q26,0))</f>
        <v>73.4860305241875</v>
      </c>
      <c r="R27" s="66" t="n">
        <f aca="false">IF(R$7&lt;=2,0,IF(R$7&lt;=20,-PMT('02_Assumptions'!$D$67,18,$D$13)-R26,0))</f>
        <v>78.9974828135016</v>
      </c>
      <c r="S27" s="66" t="n">
        <f aca="false">IF(S$7&lt;=2,0,IF(S$7&lt;=20,-PMT('02_Assumptions'!$D$67,18,$D$13)-S26,0))</f>
        <v>84.9222940245142</v>
      </c>
      <c r="T27" s="66" t="n">
        <f aca="false">IF(T$7&lt;=2,0,IF(T$7&lt;=20,-PMT('02_Assumptions'!$D$67,18,$D$13)-T26,0))</f>
        <v>91.2914660763528</v>
      </c>
      <c r="U27" s="66" t="n">
        <f aca="false">IF(U$7&lt;=2,0,IF(U$7&lt;=20,-PMT('02_Assumptions'!$D$67,18,$D$13)-U26,0))</f>
        <v>98.1383260320793</v>
      </c>
      <c r="V27" s="66" t="n">
        <f aca="false">IF(V$7&lt;=2,0,IF(V$7&lt;=20,-PMT('02_Assumptions'!$D$67,18,$D$13)-V26,0))</f>
        <v>105.498700484485</v>
      </c>
      <c r="W27" s="66" t="n">
        <f aca="false">IF(W$7&lt;=2,0,IF(W$7&lt;=20,-PMT('02_Assumptions'!$D$67,18,$D$13)-W26,0))</f>
        <v>113.411103020822</v>
      </c>
      <c r="X27" s="66" t="n">
        <f aca="false">IF(X$7&lt;=2,0,IF(X$7&lt;=20,-PMT('02_Assumptions'!$D$67,18,$D$13)-X26,0))</f>
        <v>0</v>
      </c>
      <c r="Y27" s="66" t="n">
        <f aca="false">IF(Y$7&lt;=2,0,IF(Y$7&lt;=20,-PMT('02_Assumptions'!$D$67,18,$D$13)-Y26,0))</f>
        <v>0</v>
      </c>
      <c r="Z27" s="66" t="n">
        <f aca="false">IF(Z$7&lt;=2,0,IF(Z$7&lt;=20,-PMT('02_Assumptions'!$D$67,18,$D$13)-Z26,0))</f>
        <v>0</v>
      </c>
      <c r="AA27" s="66" t="n">
        <f aca="false">IF(AA$7&lt;=2,0,IF(AA$7&lt;=20,-PMT('02_Assumptions'!$D$67,18,$D$13)-AA26,0))</f>
        <v>0</v>
      </c>
      <c r="AB27" s="66" t="n">
        <f aca="false">IF(AB$7&lt;=2,0,IF(AB$7&lt;=20,-PMT('02_Assumptions'!$D$67,18,$D$13)-AB26,0))</f>
        <v>0</v>
      </c>
      <c r="AC27" s="66" t="n">
        <f aca="false">IF(AC$7&lt;=2,0,IF(AC$7&lt;=20,-PMT('02_Assumptions'!$D$67,18,$D$13)-AC26,0))</f>
        <v>0</v>
      </c>
      <c r="AD27" s="66" t="n">
        <f aca="false">IF(AD$7&lt;=2,0,IF(AD$7&lt;=20,-PMT('02_Assumptions'!$D$67,18,$D$13)-AD26,0))</f>
        <v>0</v>
      </c>
      <c r="AE27" s="66" t="n">
        <f aca="false">IF(AE$7&lt;=2,0,IF(AE$7&lt;=20,-PMT('02_Assumptions'!$D$67,18,$D$13)-AE26,0))</f>
        <v>0</v>
      </c>
      <c r="AF27" s="66" t="n">
        <f aca="false">IF(AF$7&lt;=2,0,IF(AF$7&lt;=20,-PMT('02_Assumptions'!$D$67,18,$D$13)-AF26,0))</f>
        <v>0</v>
      </c>
      <c r="AG27" s="66" t="n">
        <f aca="false">IF(AG$7&lt;=2,0,IF(AG$7&lt;=20,-PMT('02_Assumptions'!$D$67,18,$D$13)-AG26,0))</f>
        <v>0</v>
      </c>
    </row>
    <row r="28" customFormat="false" ht="15" hidden="false" customHeight="true" outlineLevel="0" collapsed="false">
      <c r="B28" s="95" t="s">
        <v>442</v>
      </c>
      <c r="C28" s="96" t="s">
        <v>351</v>
      </c>
      <c r="D28" s="97" t="n">
        <f aca="false">D26+D27</f>
        <v>88.749516375</v>
      </c>
      <c r="E28" s="97" t="n">
        <f aca="false">E26+E27</f>
        <v>88.749516375</v>
      </c>
      <c r="F28" s="97" t="n">
        <f aca="false">F26+F27</f>
        <v>121.916935747383</v>
      </c>
      <c r="G28" s="97" t="n">
        <f aca="false">G26+G27</f>
        <v>121.916935747383</v>
      </c>
      <c r="H28" s="97" t="n">
        <f aca="false">H26+H27</f>
        <v>121.916935747383</v>
      </c>
      <c r="I28" s="97" t="n">
        <f aca="false">I26+I27</f>
        <v>121.916935747383</v>
      </c>
      <c r="J28" s="97" t="n">
        <f aca="false">J26+J27</f>
        <v>121.916935747383</v>
      </c>
      <c r="K28" s="97" t="n">
        <f aca="false">K26+K27</f>
        <v>121.916935747383</v>
      </c>
      <c r="L28" s="97" t="n">
        <f aca="false">L26+L27</f>
        <v>121.916935747383</v>
      </c>
      <c r="M28" s="97" t="n">
        <f aca="false">M26+M27</f>
        <v>121.916935747383</v>
      </c>
      <c r="N28" s="97" t="n">
        <f aca="false">N26+N27</f>
        <v>121.916935747383</v>
      </c>
      <c r="O28" s="97" t="n">
        <f aca="false">O26+O27</f>
        <v>121.916935747383</v>
      </c>
      <c r="P28" s="97" t="n">
        <f aca="false">P26+P27</f>
        <v>121.916935747383</v>
      </c>
      <c r="Q28" s="97" t="n">
        <f aca="false">Q26+Q27</f>
        <v>121.916935747383</v>
      </c>
      <c r="R28" s="97" t="n">
        <f aca="false">R26+R27</f>
        <v>121.916935747383</v>
      </c>
      <c r="S28" s="97" t="n">
        <f aca="false">S26+S27</f>
        <v>121.916935747383</v>
      </c>
      <c r="T28" s="97" t="n">
        <f aca="false">T26+T27</f>
        <v>121.916935747383</v>
      </c>
      <c r="U28" s="97" t="n">
        <f aca="false">U26+U27</f>
        <v>121.916935747383</v>
      </c>
      <c r="V28" s="97" t="n">
        <f aca="false">V26+V27</f>
        <v>121.916935747383</v>
      </c>
      <c r="W28" s="97" t="n">
        <f aca="false">W26+W27</f>
        <v>121.916935747383</v>
      </c>
      <c r="X28" s="97" t="n">
        <f aca="false">X26+X27</f>
        <v>-6.28830321147689E-014</v>
      </c>
      <c r="Y28" s="97" t="n">
        <f aca="false">Y26+Y27</f>
        <v>-6.28830321147689E-014</v>
      </c>
      <c r="Z28" s="97" t="n">
        <f aca="false">Z26+Z27</f>
        <v>-6.28830321147689E-014</v>
      </c>
      <c r="AA28" s="97" t="n">
        <f aca="false">AA26+AA27</f>
        <v>-6.28830321147689E-014</v>
      </c>
      <c r="AB28" s="97" t="n">
        <f aca="false">AB26+AB27</f>
        <v>-6.28830321147689E-014</v>
      </c>
      <c r="AC28" s="97" t="n">
        <f aca="false">AC26+AC27</f>
        <v>-6.28830321147689E-014</v>
      </c>
      <c r="AD28" s="97" t="n">
        <f aca="false">AD26+AD27</f>
        <v>-6.28830321147689E-014</v>
      </c>
      <c r="AE28" s="97" t="n">
        <f aca="false">AE26+AE27</f>
        <v>-6.28830321147689E-014</v>
      </c>
      <c r="AF28" s="97" t="n">
        <f aca="false">AF26+AF27</f>
        <v>-6.28830321147689E-014</v>
      </c>
      <c r="AG28" s="97" t="n">
        <f aca="false">AG26+AG27</f>
        <v>-6.28830321147689E-014</v>
      </c>
    </row>
    <row r="29" customFormat="false" ht="15" hidden="false" customHeight="true" outlineLevel="0" collapsed="false">
      <c r="B29" s="65" t="s">
        <v>443</v>
      </c>
      <c r="C29" s="63" t="s">
        <v>351</v>
      </c>
      <c r="D29" s="66" t="n">
        <f aca="false">D25-D27</f>
        <v>1183.326885</v>
      </c>
      <c r="E29" s="66" t="n">
        <f aca="false">E25-E27</f>
        <v>1183.326885</v>
      </c>
      <c r="F29" s="66" t="n">
        <f aca="false">F25-F27</f>
        <v>1150.15946562762</v>
      </c>
      <c r="G29" s="66" t="n">
        <f aca="false">G25-G27</f>
        <v>1114.50448980231</v>
      </c>
      <c r="H29" s="66" t="n">
        <f aca="false">H25-H27</f>
        <v>1076.1753907901</v>
      </c>
      <c r="I29" s="66" t="n">
        <f aca="false">I25-I27</f>
        <v>1034.97160935197</v>
      </c>
      <c r="J29" s="66" t="n">
        <f aca="false">J25-J27</f>
        <v>990.677544305984</v>
      </c>
      <c r="K29" s="66" t="n">
        <f aca="false">K25-K27</f>
        <v>943.061424381549</v>
      </c>
      <c r="L29" s="66" t="n">
        <f aca="false">L25-L27</f>
        <v>891.874095462782</v>
      </c>
      <c r="M29" s="66" t="n">
        <f aca="false">M25-M27</f>
        <v>836.847716875108</v>
      </c>
      <c r="N29" s="66" t="n">
        <f aca="false">N25-N27</f>
        <v>777.694359893358</v>
      </c>
      <c r="O29" s="66" t="n">
        <f aca="false">O25-O27</f>
        <v>714.104501137976</v>
      </c>
      <c r="P29" s="66" t="n">
        <f aca="false">P25-P27</f>
        <v>645.745402975941</v>
      </c>
      <c r="Q29" s="66" t="n">
        <f aca="false">Q25-Q27</f>
        <v>572.259372451754</v>
      </c>
      <c r="R29" s="66" t="n">
        <f aca="false">R25-R27</f>
        <v>493.261889638252</v>
      </c>
      <c r="S29" s="66" t="n">
        <f aca="false">S25-S27</f>
        <v>408.339595613738</v>
      </c>
      <c r="T29" s="66" t="n">
        <f aca="false">T25-T27</f>
        <v>317.048129537385</v>
      </c>
      <c r="U29" s="66" t="n">
        <f aca="false">U25-U27</f>
        <v>218.909803505306</v>
      </c>
      <c r="V29" s="66" t="n">
        <f aca="false">V25-V27</f>
        <v>113.411103020821</v>
      </c>
      <c r="W29" s="66" t="n">
        <f aca="false">W25-W27</f>
        <v>-8.38440428196918E-013</v>
      </c>
      <c r="X29" s="66" t="n">
        <f aca="false">X25-X27</f>
        <v>-8.38440428196918E-013</v>
      </c>
      <c r="Y29" s="66" t="n">
        <f aca="false">Y25-Y27</f>
        <v>-8.38440428196918E-013</v>
      </c>
      <c r="Z29" s="66" t="n">
        <f aca="false">Z25-Z27</f>
        <v>-8.38440428196918E-013</v>
      </c>
      <c r="AA29" s="66" t="n">
        <f aca="false">AA25-AA27</f>
        <v>-8.38440428196918E-013</v>
      </c>
      <c r="AB29" s="66" t="n">
        <f aca="false">AB25-AB27</f>
        <v>-8.38440428196918E-013</v>
      </c>
      <c r="AC29" s="66" t="n">
        <f aca="false">AC25-AC27</f>
        <v>-8.38440428196918E-013</v>
      </c>
      <c r="AD29" s="66" t="n">
        <f aca="false">AD25-AD27</f>
        <v>-8.38440428196918E-013</v>
      </c>
      <c r="AE29" s="66" t="n">
        <f aca="false">AE25-AE27</f>
        <v>-8.38440428196918E-013</v>
      </c>
      <c r="AF29" s="66" t="n">
        <f aca="false">AF25-AF27</f>
        <v>-8.38440428196918E-013</v>
      </c>
      <c r="AG29" s="66" t="n">
        <f aca="false">AG25-AG27</f>
        <v>-8.38440428196918E-013</v>
      </c>
    </row>
    <row r="31" customFormat="false" ht="21.75" hidden="false" customHeight="true" outlineLevel="0" collapsed="false">
      <c r="B31" s="61" t="s">
        <v>444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</row>
    <row r="32" customFormat="false" ht="15" hidden="false" customHeight="true" outlineLevel="0" collapsed="false">
      <c r="B32" s="65" t="s">
        <v>445</v>
      </c>
      <c r="C32" s="63" t="s">
        <v>351</v>
      </c>
      <c r="D32" s="66" t="n">
        <f aca="false">D18+D26</f>
        <v>275.1235007625</v>
      </c>
      <c r="E32" s="66" t="n">
        <f aca="false">E18+E26</f>
        <v>275.1235007625</v>
      </c>
      <c r="F32" s="66" t="n">
        <f aca="false">F18+F26</f>
        <v>275.1235007625</v>
      </c>
      <c r="G32" s="66" t="n">
        <f aca="false">G18+G26</f>
        <v>267.670121374166</v>
      </c>
      <c r="H32" s="66" t="n">
        <f aca="false">H18+H26</f>
        <v>259.508763843645</v>
      </c>
      <c r="I32" s="66" t="n">
        <f aca="false">I18+I26</f>
        <v>250.570687468025</v>
      </c>
      <c r="J32" s="66" t="n">
        <f aca="false">J18+J26</f>
        <v>240.780353545744</v>
      </c>
      <c r="K32" s="66" t="n">
        <f aca="false">K18+K26</f>
        <v>230.054743069858</v>
      </c>
      <c r="L32" s="66" t="n">
        <f aca="false">L18+L26</f>
        <v>218.302605140358</v>
      </c>
      <c r="M32" s="66" t="n">
        <f aca="false">M18+M26</f>
        <v>205.423628998091</v>
      </c>
      <c r="N32" s="66" t="n">
        <f aca="false">N18+N26</f>
        <v>191.307531850953</v>
      </c>
      <c r="O32" s="66" t="n">
        <f aca="false">O18+O26</f>
        <v>175.833053855187</v>
      </c>
      <c r="P32" s="66" t="n">
        <f aca="false">P18+P26</f>
        <v>158.866850723075</v>
      </c>
      <c r="Q32" s="66" t="n">
        <f aca="false">Q18+Q26</f>
        <v>140.262273444291</v>
      </c>
      <c r="R32" s="66" t="n">
        <f aca="false">R18+R26</f>
        <v>119.858023522099</v>
      </c>
      <c r="S32" s="66" t="n">
        <f aca="false">S18+S26</f>
        <v>97.4766709267563</v>
      </c>
      <c r="T32" s="66" t="n">
        <f aca="false">T18+T26</f>
        <v>72.923020645233</v>
      </c>
      <c r="U32" s="66" t="n">
        <f aca="false">U18+U26</f>
        <v>45.9823122457049</v>
      </c>
      <c r="V32" s="66" t="n">
        <f aca="false">V18+V26</f>
        <v>16.4182352628982</v>
      </c>
      <c r="W32" s="66" t="n">
        <f aca="false">W18+W26</f>
        <v>8.50583272656181</v>
      </c>
      <c r="X32" s="66" t="n">
        <f aca="false">X18+X26</f>
        <v>1.87796445061394E-013</v>
      </c>
      <c r="Y32" s="66" t="n">
        <f aca="false">Y18+Y26</f>
        <v>1.87796445061394E-013</v>
      </c>
      <c r="Z32" s="66" t="n">
        <f aca="false">Z18+Z26</f>
        <v>1.87796445061394E-013</v>
      </c>
      <c r="AA32" s="66" t="n">
        <f aca="false">AA18+AA26</f>
        <v>1.87796445061394E-013</v>
      </c>
      <c r="AB32" s="66" t="n">
        <f aca="false">AB18+AB26</f>
        <v>1.87796445061394E-013</v>
      </c>
      <c r="AC32" s="66" t="n">
        <f aca="false">AC18+AC26</f>
        <v>1.87796445061394E-013</v>
      </c>
      <c r="AD32" s="66" t="n">
        <f aca="false">AD18+AD26</f>
        <v>1.87796445061394E-013</v>
      </c>
      <c r="AE32" s="66" t="n">
        <f aca="false">AE18+AE26</f>
        <v>1.87796445061394E-013</v>
      </c>
      <c r="AF32" s="66" t="n">
        <f aca="false">AF18+AF26</f>
        <v>1.87796445061394E-013</v>
      </c>
      <c r="AG32" s="66" t="n">
        <f aca="false">AG18+AG26</f>
        <v>1.87796445061394E-013</v>
      </c>
    </row>
    <row r="33" customFormat="false" ht="15" hidden="false" customHeight="true" outlineLevel="0" collapsed="false">
      <c r="B33" s="65" t="s">
        <v>446</v>
      </c>
      <c r="C33" s="63" t="s">
        <v>351</v>
      </c>
      <c r="D33" s="66" t="n">
        <f aca="false">D19+D27</f>
        <v>0</v>
      </c>
      <c r="E33" s="66" t="n">
        <f aca="false">E19+E27</f>
        <v>0</v>
      </c>
      <c r="F33" s="66" t="n">
        <f aca="false">F19+F27</f>
        <v>80.4609711381487</v>
      </c>
      <c r="G33" s="66" t="n">
        <f aca="false">G19+G27</f>
        <v>87.9143505264828</v>
      </c>
      <c r="H33" s="66" t="n">
        <f aca="false">H19+H27</f>
        <v>96.0757080570041</v>
      </c>
      <c r="I33" s="66" t="n">
        <f aca="false">I19+I27</f>
        <v>105.013784432623</v>
      </c>
      <c r="J33" s="66" t="n">
        <f aca="false">J19+J27</f>
        <v>114.804118354905</v>
      </c>
      <c r="K33" s="66" t="n">
        <f aca="false">K19+K27</f>
        <v>125.52972883079</v>
      </c>
      <c r="L33" s="66" t="n">
        <f aca="false">L19+L27</f>
        <v>137.28186676029</v>
      </c>
      <c r="M33" s="66" t="n">
        <f aca="false">M19+M27</f>
        <v>150.160842902558</v>
      </c>
      <c r="N33" s="66" t="n">
        <f aca="false">N19+N27</f>
        <v>164.276940049696</v>
      </c>
      <c r="O33" s="66" t="n">
        <f aca="false">O19+O27</f>
        <v>179.751418045462</v>
      </c>
      <c r="P33" s="66" t="n">
        <f aca="false">P19+P27</f>
        <v>196.717621177574</v>
      </c>
      <c r="Q33" s="66" t="n">
        <f aca="false">Q19+Q27</f>
        <v>215.322198456358</v>
      </c>
      <c r="R33" s="66" t="n">
        <f aca="false">R19+R27</f>
        <v>235.72644837855</v>
      </c>
      <c r="S33" s="66" t="n">
        <f aca="false">S19+S27</f>
        <v>258.107800973892</v>
      </c>
      <c r="T33" s="66" t="n">
        <f aca="false">T19+T27</f>
        <v>282.661451255416</v>
      </c>
      <c r="U33" s="66" t="n">
        <f aca="false">U19+U27</f>
        <v>309.602159654944</v>
      </c>
      <c r="V33" s="66" t="n">
        <f aca="false">V19+V27</f>
        <v>105.498700484485</v>
      </c>
      <c r="W33" s="66" t="n">
        <f aca="false">W19+W27</f>
        <v>113.411103020822</v>
      </c>
      <c r="X33" s="66" t="n">
        <f aca="false">X19+X27</f>
        <v>0</v>
      </c>
      <c r="Y33" s="66" t="n">
        <f aca="false">Y19+Y27</f>
        <v>0</v>
      </c>
      <c r="Z33" s="66" t="n">
        <f aca="false">Z19+Z27</f>
        <v>0</v>
      </c>
      <c r="AA33" s="66" t="n">
        <f aca="false">AA19+AA27</f>
        <v>0</v>
      </c>
      <c r="AB33" s="66" t="n">
        <f aca="false">AB19+AB27</f>
        <v>0</v>
      </c>
      <c r="AC33" s="66" t="n">
        <f aca="false">AC19+AC27</f>
        <v>0</v>
      </c>
      <c r="AD33" s="66" t="n">
        <f aca="false">AD19+AD27</f>
        <v>0</v>
      </c>
      <c r="AE33" s="66" t="n">
        <f aca="false">AE19+AE27</f>
        <v>0</v>
      </c>
      <c r="AF33" s="66" t="n">
        <f aca="false">AF19+AF27</f>
        <v>0</v>
      </c>
      <c r="AG33" s="66" t="n">
        <f aca="false">AG19+AG27</f>
        <v>0</v>
      </c>
    </row>
    <row r="34" customFormat="false" ht="15" hidden="false" customHeight="true" outlineLevel="0" collapsed="false">
      <c r="B34" s="98" t="s">
        <v>444</v>
      </c>
      <c r="C34" s="99" t="s">
        <v>351</v>
      </c>
      <c r="D34" s="100" t="n">
        <f aca="false">D20+D28</f>
        <v>275.1235007625</v>
      </c>
      <c r="E34" s="100" t="n">
        <f aca="false">E20+E28</f>
        <v>275.1235007625</v>
      </c>
      <c r="F34" s="100" t="n">
        <f aca="false">F20+F28</f>
        <v>355.584471900649</v>
      </c>
      <c r="G34" s="100" t="n">
        <f aca="false">G20+G28</f>
        <v>355.584471900649</v>
      </c>
      <c r="H34" s="100" t="n">
        <f aca="false">H20+H28</f>
        <v>355.584471900649</v>
      </c>
      <c r="I34" s="100" t="n">
        <f aca="false">I20+I28</f>
        <v>355.584471900649</v>
      </c>
      <c r="J34" s="100" t="n">
        <f aca="false">J20+J28</f>
        <v>355.584471900649</v>
      </c>
      <c r="K34" s="100" t="n">
        <f aca="false">K20+K28</f>
        <v>355.584471900649</v>
      </c>
      <c r="L34" s="100" t="n">
        <f aca="false">L20+L28</f>
        <v>355.584471900649</v>
      </c>
      <c r="M34" s="100" t="n">
        <f aca="false">M20+M28</f>
        <v>355.584471900649</v>
      </c>
      <c r="N34" s="100" t="n">
        <f aca="false">N20+N28</f>
        <v>355.584471900649</v>
      </c>
      <c r="O34" s="100" t="n">
        <f aca="false">O20+O28</f>
        <v>355.584471900649</v>
      </c>
      <c r="P34" s="100" t="n">
        <f aca="false">P20+P28</f>
        <v>355.584471900649</v>
      </c>
      <c r="Q34" s="100" t="n">
        <f aca="false">Q20+Q28</f>
        <v>355.584471900649</v>
      </c>
      <c r="R34" s="100" t="n">
        <f aca="false">R20+R28</f>
        <v>355.584471900649</v>
      </c>
      <c r="S34" s="100" t="n">
        <f aca="false">S20+S28</f>
        <v>355.584471900649</v>
      </c>
      <c r="T34" s="100" t="n">
        <f aca="false">T20+T28</f>
        <v>355.584471900649</v>
      </c>
      <c r="U34" s="100" t="n">
        <f aca="false">U20+U28</f>
        <v>355.584471900649</v>
      </c>
      <c r="V34" s="100" t="n">
        <f aca="false">V20+V28</f>
        <v>121.916935747383</v>
      </c>
      <c r="W34" s="100" t="n">
        <f aca="false">W20+W28</f>
        <v>121.916935747383</v>
      </c>
      <c r="X34" s="100" t="n">
        <f aca="false">X20+X28</f>
        <v>1.87796445061394E-013</v>
      </c>
      <c r="Y34" s="100" t="n">
        <f aca="false">Y20+Y28</f>
        <v>1.87796445061394E-013</v>
      </c>
      <c r="Z34" s="100" t="n">
        <f aca="false">Z20+Z28</f>
        <v>1.87796445061394E-013</v>
      </c>
      <c r="AA34" s="100" t="n">
        <f aca="false">AA20+AA28</f>
        <v>1.87796445061394E-013</v>
      </c>
      <c r="AB34" s="100" t="n">
        <f aca="false">AB20+AB28</f>
        <v>1.87796445061394E-013</v>
      </c>
      <c r="AC34" s="100" t="n">
        <f aca="false">AC20+AC28</f>
        <v>1.87796445061394E-013</v>
      </c>
      <c r="AD34" s="100" t="n">
        <f aca="false">AD20+AD28</f>
        <v>1.87796445061394E-013</v>
      </c>
      <c r="AE34" s="100" t="n">
        <f aca="false">AE20+AE28</f>
        <v>1.87796445061394E-013</v>
      </c>
      <c r="AF34" s="100" t="n">
        <f aca="false">AF20+AF28</f>
        <v>1.87796445061394E-013</v>
      </c>
      <c r="AG34" s="100" t="n">
        <f aca="false">AG20+AG28</f>
        <v>1.87796445061394E-013</v>
      </c>
    </row>
    <row r="35" customFormat="false" ht="15" hidden="false" customHeight="true" outlineLevel="0" collapsed="false">
      <c r="B35" s="65" t="s">
        <v>447</v>
      </c>
      <c r="C35" s="63" t="s">
        <v>351</v>
      </c>
      <c r="D35" s="66" t="n">
        <f aca="false">D21+D29</f>
        <v>2958.3172125</v>
      </c>
      <c r="E35" s="66" t="n">
        <f aca="false">E21+E29</f>
        <v>2958.3172125</v>
      </c>
      <c r="F35" s="66" t="n">
        <f aca="false">F21+F29</f>
        <v>2877.85624136185</v>
      </c>
      <c r="G35" s="66" t="n">
        <f aca="false">G21+G29</f>
        <v>2789.94189083537</v>
      </c>
      <c r="H35" s="66" t="n">
        <f aca="false">H21+H29</f>
        <v>2693.86618277837</v>
      </c>
      <c r="I35" s="66" t="n">
        <f aca="false">I21+I29</f>
        <v>2588.85239834574</v>
      </c>
      <c r="J35" s="66" t="n">
        <f aca="false">J21+J29</f>
        <v>2474.04827999084</v>
      </c>
      <c r="K35" s="66" t="n">
        <f aca="false">K21+K29</f>
        <v>2348.51855116005</v>
      </c>
      <c r="L35" s="66" t="n">
        <f aca="false">L21+L29</f>
        <v>2211.23668439976</v>
      </c>
      <c r="M35" s="66" t="n">
        <f aca="false">M21+M29</f>
        <v>2061.0758414972</v>
      </c>
      <c r="N35" s="66" t="n">
        <f aca="false">N21+N29</f>
        <v>1896.7989014475</v>
      </c>
      <c r="O35" s="66" t="n">
        <f aca="false">O21+O29</f>
        <v>1717.04748340204</v>
      </c>
      <c r="P35" s="66" t="n">
        <f aca="false">P21+P29</f>
        <v>1520.32986222447</v>
      </c>
      <c r="Q35" s="66" t="n">
        <f aca="false">Q21+Q29</f>
        <v>1305.00766376811</v>
      </c>
      <c r="R35" s="66" t="n">
        <f aca="false">R21+R29</f>
        <v>1069.28121538956</v>
      </c>
      <c r="S35" s="66" t="n">
        <f aca="false">S21+S29</f>
        <v>811.173414415668</v>
      </c>
      <c r="T35" s="66" t="n">
        <f aca="false">T21+T29</f>
        <v>528.511963160252</v>
      </c>
      <c r="U35" s="66" t="n">
        <f aca="false">U21+U29</f>
        <v>218.909803505308</v>
      </c>
      <c r="V35" s="66" t="n">
        <f aca="false">V21+V29</f>
        <v>113.411103020823</v>
      </c>
      <c r="W35" s="66" t="n">
        <f aca="false">W21+W29</f>
        <v>1.54898316395702E-012</v>
      </c>
      <c r="X35" s="66" t="n">
        <f aca="false">X21+X29</f>
        <v>1.54898316395702E-012</v>
      </c>
      <c r="Y35" s="66" t="n">
        <f aca="false">Y21+Y29</f>
        <v>1.54898316395702E-012</v>
      </c>
      <c r="Z35" s="66" t="n">
        <f aca="false">Z21+Z29</f>
        <v>1.54898316395702E-012</v>
      </c>
      <c r="AA35" s="66" t="n">
        <f aca="false">AA21+AA29</f>
        <v>1.54898316395702E-012</v>
      </c>
      <c r="AB35" s="66" t="n">
        <f aca="false">AB21+AB29</f>
        <v>1.54898316395702E-012</v>
      </c>
      <c r="AC35" s="66" t="n">
        <f aca="false">AC21+AC29</f>
        <v>1.54898316395702E-012</v>
      </c>
      <c r="AD35" s="66" t="n">
        <f aca="false">AD21+AD29</f>
        <v>1.54898316395702E-012</v>
      </c>
      <c r="AE35" s="66" t="n">
        <f aca="false">AE21+AE29</f>
        <v>1.54898316395702E-012</v>
      </c>
      <c r="AF35" s="66" t="n">
        <f aca="false">AF21+AF29</f>
        <v>1.54898316395702E-012</v>
      </c>
      <c r="AG35" s="66" t="n">
        <f aca="false">AG21+AG29</f>
        <v>1.54898316395702E-012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AG37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7" topLeftCell="D8" activePane="bottomRight" state="frozen"/>
      <selection pane="topLeft" activeCell="A1" activeCellId="0" sqref="A1"/>
      <selection pane="topRight" activeCell="D1" activeCellId="0" sqref="D1"/>
      <selection pane="bottomLeft" activeCell="A8" activeCellId="0" sqref="A8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0"/>
    <col collapsed="false" customWidth="true" hidden="false" outlineLevel="0" max="3" min="3" style="1" width="12"/>
    <col collapsed="false" customWidth="true" hidden="false" outlineLevel="0" max="33" min="4" style="1" width="11"/>
  </cols>
  <sheetData>
    <row r="2" customFormat="false" ht="24" hidden="false" customHeight="true" outlineLevel="0" collapsed="false">
      <c r="B2" s="93" t="s">
        <v>448</v>
      </c>
    </row>
    <row r="3" customFormat="false" ht="15" hidden="false" customHeight="true" outlineLevel="0" collapsed="false">
      <c r="B3" s="94" t="s">
        <v>449</v>
      </c>
    </row>
    <row r="5" customFormat="false" ht="21.75" hidden="false" customHeight="true" outlineLevel="0" collapsed="false">
      <c r="B5" s="56" t="s">
        <v>414</v>
      </c>
      <c r="C5" s="57" t="s">
        <v>284</v>
      </c>
      <c r="D5" s="58" t="s">
        <v>285</v>
      </c>
      <c r="E5" s="58" t="s">
        <v>286</v>
      </c>
      <c r="F5" s="58" t="s">
        <v>287</v>
      </c>
      <c r="G5" s="58" t="s">
        <v>288</v>
      </c>
      <c r="H5" s="58" t="s">
        <v>289</v>
      </c>
      <c r="I5" s="58" t="s">
        <v>290</v>
      </c>
      <c r="J5" s="58" t="s">
        <v>291</v>
      </c>
      <c r="K5" s="58" t="s">
        <v>292</v>
      </c>
      <c r="L5" s="58" t="s">
        <v>293</v>
      </c>
      <c r="M5" s="58" t="s">
        <v>294</v>
      </c>
      <c r="N5" s="58" t="s">
        <v>295</v>
      </c>
      <c r="O5" s="58" t="s">
        <v>296</v>
      </c>
      <c r="P5" s="58" t="s">
        <v>297</v>
      </c>
      <c r="Q5" s="58" t="s">
        <v>298</v>
      </c>
      <c r="R5" s="58" t="s">
        <v>299</v>
      </c>
      <c r="S5" s="58" t="s">
        <v>300</v>
      </c>
      <c r="T5" s="58" t="s">
        <v>301</v>
      </c>
      <c r="U5" s="58" t="s">
        <v>302</v>
      </c>
      <c r="V5" s="58" t="s">
        <v>303</v>
      </c>
      <c r="W5" s="58" t="s">
        <v>304</v>
      </c>
      <c r="X5" s="58" t="s">
        <v>305</v>
      </c>
      <c r="Y5" s="58" t="s">
        <v>306</v>
      </c>
      <c r="Z5" s="58" t="s">
        <v>307</v>
      </c>
      <c r="AA5" s="58" t="s">
        <v>308</v>
      </c>
      <c r="AB5" s="58" t="s">
        <v>309</v>
      </c>
      <c r="AC5" s="58" t="s">
        <v>310</v>
      </c>
      <c r="AD5" s="58" t="s">
        <v>311</v>
      </c>
      <c r="AE5" s="58" t="s">
        <v>312</v>
      </c>
      <c r="AF5" s="58" t="s">
        <v>313</v>
      </c>
      <c r="AG5" s="58" t="s">
        <v>314</v>
      </c>
    </row>
    <row r="6" customFormat="false" ht="15" hidden="false" customHeight="true" outlineLevel="0" collapsed="false">
      <c r="D6" s="59" t="s">
        <v>315</v>
      </c>
      <c r="E6" s="59" t="s">
        <v>316</v>
      </c>
      <c r="F6" s="59" t="s">
        <v>317</v>
      </c>
      <c r="G6" s="59" t="s">
        <v>318</v>
      </c>
      <c r="H6" s="59" t="s">
        <v>319</v>
      </c>
      <c r="I6" s="59" t="s">
        <v>320</v>
      </c>
      <c r="J6" s="59" t="s">
        <v>321</v>
      </c>
      <c r="K6" s="59" t="s">
        <v>322</v>
      </c>
      <c r="L6" s="59" t="s">
        <v>323</v>
      </c>
      <c r="M6" s="59" t="s">
        <v>324</v>
      </c>
      <c r="N6" s="59" t="s">
        <v>325</v>
      </c>
      <c r="O6" s="59" t="s">
        <v>326</v>
      </c>
      <c r="P6" s="59" t="s">
        <v>327</v>
      </c>
      <c r="Q6" s="59" t="s">
        <v>328</v>
      </c>
      <c r="R6" s="59" t="s">
        <v>329</v>
      </c>
      <c r="S6" s="59" t="s">
        <v>330</v>
      </c>
      <c r="T6" s="59" t="s">
        <v>331</v>
      </c>
      <c r="U6" s="59" t="s">
        <v>332</v>
      </c>
      <c r="V6" s="59" t="s">
        <v>333</v>
      </c>
      <c r="W6" s="59" t="s">
        <v>334</v>
      </c>
      <c r="X6" s="59" t="s">
        <v>335</v>
      </c>
      <c r="Y6" s="59" t="s">
        <v>336</v>
      </c>
      <c r="Z6" s="59" t="s">
        <v>337</v>
      </c>
      <c r="AA6" s="59" t="s">
        <v>338</v>
      </c>
      <c r="AB6" s="59" t="s">
        <v>339</v>
      </c>
      <c r="AC6" s="59" t="s">
        <v>340</v>
      </c>
      <c r="AD6" s="59" t="s">
        <v>341</v>
      </c>
      <c r="AE6" s="59" t="s">
        <v>342</v>
      </c>
      <c r="AF6" s="59" t="s">
        <v>343</v>
      </c>
      <c r="AG6" s="59" t="s">
        <v>344</v>
      </c>
    </row>
    <row r="7" customFormat="false" ht="15" hidden="false" customHeight="true" outlineLevel="0" collapsed="false">
      <c r="B7" s="36" t="s">
        <v>345</v>
      </c>
      <c r="D7" s="60" t="n">
        <v>1</v>
      </c>
      <c r="E7" s="60" t="n">
        <v>2</v>
      </c>
      <c r="F7" s="60" t="n">
        <v>3</v>
      </c>
      <c r="G7" s="60" t="n">
        <v>4</v>
      </c>
      <c r="H7" s="60" t="n">
        <v>5</v>
      </c>
      <c r="I7" s="60" t="n">
        <v>6</v>
      </c>
      <c r="J7" s="60" t="n">
        <v>7</v>
      </c>
      <c r="K7" s="60" t="n">
        <v>8</v>
      </c>
      <c r="L7" s="60" t="n">
        <v>9</v>
      </c>
      <c r="M7" s="60" t="n">
        <v>10</v>
      </c>
      <c r="N7" s="60" t="n">
        <v>11</v>
      </c>
      <c r="O7" s="60" t="n">
        <v>12</v>
      </c>
      <c r="P7" s="60" t="n">
        <v>13</v>
      </c>
      <c r="Q7" s="60" t="n">
        <v>14</v>
      </c>
      <c r="R7" s="60" t="n">
        <v>15</v>
      </c>
      <c r="S7" s="60" t="n">
        <v>16</v>
      </c>
      <c r="T7" s="60" t="n">
        <v>17</v>
      </c>
      <c r="U7" s="60" t="n">
        <v>18</v>
      </c>
      <c r="V7" s="60" t="n">
        <v>19</v>
      </c>
      <c r="W7" s="60" t="n">
        <v>20</v>
      </c>
      <c r="X7" s="60" t="n">
        <v>21</v>
      </c>
      <c r="Y7" s="60" t="n">
        <v>22</v>
      </c>
      <c r="Z7" s="60" t="n">
        <v>23</v>
      </c>
      <c r="AA7" s="60" t="n">
        <v>24</v>
      </c>
      <c r="AB7" s="60" t="n">
        <v>25</v>
      </c>
      <c r="AC7" s="60" t="n">
        <v>26</v>
      </c>
      <c r="AD7" s="60" t="n">
        <v>27</v>
      </c>
      <c r="AE7" s="60" t="n">
        <v>28</v>
      </c>
      <c r="AF7" s="60" t="n">
        <v>29</v>
      </c>
      <c r="AG7" s="60" t="n">
        <v>30</v>
      </c>
    </row>
    <row r="9" customFormat="false" ht="21.75" hidden="false" customHeight="true" outlineLevel="0" collapsed="false">
      <c r="B9" s="61" t="s">
        <v>450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  <row r="10" customFormat="false" ht="15" hidden="false" customHeight="true" outlineLevel="0" collapsed="false">
      <c r="B10" s="65" t="s">
        <v>451</v>
      </c>
      <c r="C10" s="63" t="s">
        <v>351</v>
      </c>
      <c r="D10" s="66" t="n">
        <f aca="false">'03_Revenue'!D19</f>
        <v>86.366592</v>
      </c>
      <c r="E10" s="66" t="n">
        <f aca="false">'03_Revenue'!E19</f>
        <v>87.6371374944</v>
      </c>
      <c r="F10" s="66" t="n">
        <f aca="false">'03_Revenue'!F19</f>
        <v>1541.89957174766</v>
      </c>
      <c r="G10" s="66" t="n">
        <f aca="false">'03_Revenue'!G19</f>
        <v>1572.4464838083</v>
      </c>
      <c r="H10" s="66" t="n">
        <f aca="false">'03_Revenue'!H19</f>
        <v>1635.81848076003</v>
      </c>
      <c r="I10" s="66" t="n">
        <f aca="false">'03_Revenue'!I19</f>
        <v>1668.2354644799</v>
      </c>
      <c r="J10" s="66" t="n">
        <f aca="false">'03_Revenue'!J19</f>
        <v>1701.29654162022</v>
      </c>
      <c r="K10" s="66" t="n">
        <f aca="false">'03_Revenue'!K19</f>
        <v>1735.01453076559</v>
      </c>
      <c r="L10" s="66" t="n">
        <f aca="false">'03_Revenue'!L19</f>
        <v>1769.40250588662</v>
      </c>
      <c r="M10" s="66" t="n">
        <f aca="false">'03_Revenue'!M19</f>
        <v>1804.47380143165</v>
      </c>
      <c r="N10" s="66" t="n">
        <f aca="false">'03_Revenue'!N19</f>
        <v>1840.24201752014</v>
      </c>
      <c r="O10" s="66" t="n">
        <f aca="false">'03_Revenue'!O19</f>
        <v>1876.72102523952</v>
      </c>
      <c r="P10" s="66" t="n">
        <f aca="false">'03_Revenue'!P19</f>
        <v>1913.92497204786</v>
      </c>
      <c r="Q10" s="66" t="n">
        <f aca="false">'03_Revenue'!Q19</f>
        <v>1951.86828728416</v>
      </c>
      <c r="R10" s="66" t="n">
        <f aca="false">'03_Revenue'!R19</f>
        <v>1990.56568778865</v>
      </c>
      <c r="S10" s="66" t="n">
        <f aca="false">'03_Revenue'!S19</f>
        <v>2030.0321836352</v>
      </c>
      <c r="T10" s="66" t="n">
        <f aca="false">'03_Revenue'!T19</f>
        <v>2070.28308397804</v>
      </c>
      <c r="U10" s="66" t="n">
        <f aca="false">'03_Revenue'!U19</f>
        <v>2111.33400301514</v>
      </c>
      <c r="V10" s="66" t="n">
        <f aca="false">'03_Revenue'!V19</f>
        <v>2153.20086607056</v>
      </c>
      <c r="W10" s="66" t="n">
        <f aca="false">'03_Revenue'!W19</f>
        <v>2195.89991579811</v>
      </c>
      <c r="X10" s="66" t="n">
        <f aca="false">'03_Revenue'!X19</f>
        <v>2239.44771850879</v>
      </c>
      <c r="Y10" s="66" t="n">
        <f aca="false">'03_Revenue'!Y19</f>
        <v>2283.86117062445</v>
      </c>
      <c r="Z10" s="66" t="n">
        <f aca="false">'03_Revenue'!Z19</f>
        <v>2329.15750526016</v>
      </c>
      <c r="AA10" s="66" t="n">
        <f aca="false">'03_Revenue'!AA19</f>
        <v>2375.35429893798</v>
      </c>
      <c r="AB10" s="66" t="n">
        <f aca="false">'03_Revenue'!AB19</f>
        <v>2422.46947843454</v>
      </c>
      <c r="AC10" s="66" t="n">
        <f aca="false">'03_Revenue'!AC19</f>
        <v>2470.52132776537</v>
      </c>
      <c r="AD10" s="66" t="n">
        <f aca="false">'03_Revenue'!AD19</f>
        <v>2519.5284953084</v>
      </c>
      <c r="AE10" s="66" t="n">
        <f aca="false">'03_Revenue'!AE19</f>
        <v>2569.51000106978</v>
      </c>
      <c r="AF10" s="66" t="n">
        <f aca="false">'03_Revenue'!AF19</f>
        <v>2620.48524409441</v>
      </c>
      <c r="AG10" s="66" t="n">
        <f aca="false">'03_Revenue'!AG19</f>
        <v>2672.47401002454</v>
      </c>
    </row>
    <row r="12" customFormat="false" ht="21.75" hidden="false" customHeight="true" outlineLevel="0" collapsed="false">
      <c r="B12" s="61" t="s">
        <v>452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</row>
    <row r="13" customFormat="false" ht="15" hidden="false" customHeight="true" outlineLevel="0" collapsed="false">
      <c r="B13" s="65" t="s">
        <v>453</v>
      </c>
      <c r="C13" s="63" t="s">
        <v>351</v>
      </c>
      <c r="D13" s="66" t="n">
        <f aca="false">-'05_OPEX'!D22</f>
        <v>-28.956912975</v>
      </c>
      <c r="E13" s="66" t="n">
        <f aca="false">-'05_OPEX'!E22</f>
        <v>-29.139163842</v>
      </c>
      <c r="F13" s="66" t="n">
        <f aca="false">-'05_OPEX'!F22</f>
        <v>-127.827011934015</v>
      </c>
      <c r="G13" s="66" t="n">
        <f aca="false">-'05_OPEX'!G22</f>
        <v>-130.249832226491</v>
      </c>
      <c r="H13" s="66" t="n">
        <f aca="false">-'05_OPEX'!H22</f>
        <v>-132.731936293266</v>
      </c>
      <c r="I13" s="66" t="n">
        <f aca="false">-'05_OPEX'!I22</f>
        <v>-135.274753499879</v>
      </c>
      <c r="J13" s="66" t="n">
        <f aca="false">-'05_OPEX'!J22</f>
        <v>-137.879748207938</v>
      </c>
      <c r="K13" s="66" t="n">
        <f aca="false">-'05_OPEX'!K22</f>
        <v>-140.54842064185</v>
      </c>
      <c r="L13" s="66" t="n">
        <f aca="false">-'05_OPEX'!L22</f>
        <v>-143.282307777385</v>
      </c>
      <c r="M13" s="66" t="n">
        <f aca="false">-'05_OPEX'!M22</f>
        <v>-146.082984252648</v>
      </c>
      <c r="N13" s="66" t="n">
        <f aca="false">-'05_OPEX'!N22</f>
        <v>-148.95206330203</v>
      </c>
      <c r="O13" s="66" t="n">
        <f aca="false">-'05_OPEX'!O22</f>
        <v>-151.891197713745</v>
      </c>
      <c r="P13" s="66" t="n">
        <f aca="false">-'05_OPEX'!P22</f>
        <v>-154.90208081154</v>
      </c>
      <c r="Q13" s="66" t="n">
        <f aca="false">-'05_OPEX'!Q22</f>
        <v>-157.986447461243</v>
      </c>
      <c r="R13" s="66" t="n">
        <f aca="false">-'05_OPEX'!R22</f>
        <v>-161.146075102751</v>
      </c>
      <c r="S13" s="66" t="n">
        <f aca="false">-'05_OPEX'!S22</f>
        <v>-164.382784808159</v>
      </c>
      <c r="T13" s="66" t="n">
        <f aca="false">-'05_OPEX'!T22</f>
        <v>-167.698442366676</v>
      </c>
      <c r="U13" s="66" t="n">
        <f aca="false">-'05_OPEX'!U22</f>
        <v>-171.094959397054</v>
      </c>
      <c r="V13" s="66" t="n">
        <f aca="false">-'05_OPEX'!V22</f>
        <v>-174.574294488226</v>
      </c>
      <c r="W13" s="66" t="n">
        <f aca="false">-'05_OPEX'!W22</f>
        <v>-178.138454368907</v>
      </c>
      <c r="X13" s="66" t="n">
        <f aca="false">-'05_OPEX'!X22</f>
        <v>-181.789495106897</v>
      </c>
      <c r="Y13" s="66" t="n">
        <f aca="false">-'05_OPEX'!Y22</f>
        <v>-185.529523338882</v>
      </c>
      <c r="Z13" s="66" t="n">
        <f aca="false">-'05_OPEX'!Z22</f>
        <v>-189.360697531516</v>
      </c>
      <c r="AA13" s="66" t="n">
        <f aca="false">-'05_OPEX'!AA22</f>
        <v>-193.285229274615</v>
      </c>
      <c r="AB13" s="66" t="n">
        <f aca="false">-'05_OPEX'!AB22</f>
        <v>-197.305384607298</v>
      </c>
      <c r="AC13" s="66" t="n">
        <f aca="false">-'05_OPEX'!AC22</f>
        <v>-201.423485377954</v>
      </c>
      <c r="AD13" s="66" t="n">
        <f aca="false">-'05_OPEX'!AD22</f>
        <v>-205.641910638908</v>
      </c>
      <c r="AE13" s="66" t="n">
        <f aca="false">-'05_OPEX'!AE22</f>
        <v>-209.963098076712</v>
      </c>
      <c r="AF13" s="66" t="n">
        <f aca="false">-'05_OPEX'!AF22</f>
        <v>-214.389545479002</v>
      </c>
      <c r="AG13" s="66" t="n">
        <f aca="false">-'05_OPEX'!AG22</f>
        <v>-218.92381223888</v>
      </c>
    </row>
    <row r="15" customFormat="false" ht="21.75" hidden="false" customHeight="true" outlineLevel="0" collapsed="false">
      <c r="B15" s="61" t="s">
        <v>454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</row>
    <row r="16" customFormat="false" ht="15" hidden="false" customHeight="true" outlineLevel="0" collapsed="false">
      <c r="B16" s="95" t="s">
        <v>454</v>
      </c>
      <c r="C16" s="96" t="s">
        <v>351</v>
      </c>
      <c r="D16" s="97" t="n">
        <f aca="false">D10+D13</f>
        <v>57.409679025</v>
      </c>
      <c r="E16" s="97" t="n">
        <f aca="false">E10+E13</f>
        <v>58.4979736524</v>
      </c>
      <c r="F16" s="97" t="n">
        <f aca="false">F10+F13</f>
        <v>1414.07255981365</v>
      </c>
      <c r="G16" s="97" t="n">
        <f aca="false">G10+G13</f>
        <v>1442.19665158181</v>
      </c>
      <c r="H16" s="97" t="n">
        <f aca="false">H10+H13</f>
        <v>1503.08654446677</v>
      </c>
      <c r="I16" s="97" t="n">
        <f aca="false">I10+I13</f>
        <v>1532.96071098002</v>
      </c>
      <c r="J16" s="97" t="n">
        <f aca="false">J10+J13</f>
        <v>1563.41679341228</v>
      </c>
      <c r="K16" s="97" t="n">
        <f aca="false">K10+K13</f>
        <v>1594.46611012374</v>
      </c>
      <c r="L16" s="97" t="n">
        <f aca="false">L10+L13</f>
        <v>1626.12019810924</v>
      </c>
      <c r="M16" s="97" t="n">
        <f aca="false">M10+M13</f>
        <v>1658.39081717901</v>
      </c>
      <c r="N16" s="97" t="n">
        <f aca="false">N10+N13</f>
        <v>1691.28995421811</v>
      </c>
      <c r="O16" s="97" t="n">
        <f aca="false">O10+O13</f>
        <v>1724.82982752578</v>
      </c>
      <c r="P16" s="97" t="n">
        <f aca="false">P10+P13</f>
        <v>1759.02289123632</v>
      </c>
      <c r="Q16" s="97" t="n">
        <f aca="false">Q10+Q13</f>
        <v>1793.88183982291</v>
      </c>
      <c r="R16" s="97" t="n">
        <f aca="false">R10+R13</f>
        <v>1829.4196126859</v>
      </c>
      <c r="S16" s="97" t="n">
        <f aca="false">S10+S13</f>
        <v>1865.64939882704</v>
      </c>
      <c r="T16" s="97" t="n">
        <f aca="false">T10+T13</f>
        <v>1902.58464161136</v>
      </c>
      <c r="U16" s="97" t="n">
        <f aca="false">U10+U13</f>
        <v>1940.23904361808</v>
      </c>
      <c r="V16" s="97" t="n">
        <f aca="false">V10+V13</f>
        <v>1978.62657158233</v>
      </c>
      <c r="W16" s="97" t="n">
        <f aca="false">W10+W13</f>
        <v>2017.7614614292</v>
      </c>
      <c r="X16" s="97" t="n">
        <f aca="false">X10+X13</f>
        <v>2057.65822340189</v>
      </c>
      <c r="Y16" s="97" t="n">
        <f aca="false">Y10+Y13</f>
        <v>2098.33164728556</v>
      </c>
      <c r="Z16" s="97" t="n">
        <f aca="false">Z10+Z13</f>
        <v>2139.79680772865</v>
      </c>
      <c r="AA16" s="97" t="n">
        <f aca="false">AA10+AA13</f>
        <v>2182.06906966336</v>
      </c>
      <c r="AB16" s="97" t="n">
        <f aca="false">AB10+AB13</f>
        <v>2225.16409382725</v>
      </c>
      <c r="AC16" s="97" t="n">
        <f aca="false">AC10+AC13</f>
        <v>2269.09784238741</v>
      </c>
      <c r="AD16" s="97" t="n">
        <f aca="false">AD10+AD13</f>
        <v>2313.8865846695</v>
      </c>
      <c r="AE16" s="97" t="n">
        <f aca="false">AE10+AE13</f>
        <v>2359.54690299307</v>
      </c>
      <c r="AF16" s="97" t="n">
        <f aca="false">AF10+AF13</f>
        <v>2406.09569861541</v>
      </c>
      <c r="AG16" s="97" t="n">
        <f aca="false">AG10+AG13</f>
        <v>2453.55019778566</v>
      </c>
    </row>
    <row r="17" customFormat="false" ht="15" hidden="false" customHeight="true" outlineLevel="0" collapsed="false">
      <c r="B17" s="65" t="s">
        <v>455</v>
      </c>
      <c r="C17" s="63" t="s">
        <v>456</v>
      </c>
      <c r="D17" s="101" t="n">
        <f aca="false">IFERROR(D16/D10,0)</f>
        <v>0.664720903020001</v>
      </c>
      <c r="E17" s="101" t="n">
        <f aca="false">IFERROR(E16/E10,0)</f>
        <v>0.667502103844252</v>
      </c>
      <c r="F17" s="101" t="n">
        <f aca="false">IFERROR(F16/F10,0)</f>
        <v>0.917097705793426</v>
      </c>
      <c r="G17" s="101" t="n">
        <f aca="false">IFERROR(G16/G10,0)</f>
        <v>0.917167398974979</v>
      </c>
      <c r="H17" s="101" t="n">
        <f aca="false">IFERROR(H16/H10,0)</f>
        <v>0.918859006757525</v>
      </c>
      <c r="I17" s="101" t="n">
        <f aca="false">IFERROR(I16/I10,0)</f>
        <v>0.918911474800679</v>
      </c>
      <c r="J17" s="101" t="n">
        <f aca="false">IFERROR(J16/J10,0)</f>
        <v>0.91895607565473</v>
      </c>
      <c r="K17" s="101" t="n">
        <f aca="false">IFERROR(K16/K10,0)</f>
        <v>0.918992943200406</v>
      </c>
      <c r="L17" s="101" t="n">
        <f aca="false">IFERROR(L16/L10,0)</f>
        <v>0.919022208174398</v>
      </c>
      <c r="M17" s="101" t="n">
        <f aca="false">IFERROR(M16/M10,0)</f>
        <v>0.919043998235526</v>
      </c>
      <c r="N17" s="101" t="n">
        <f aca="false">IFERROR(N16/N10,0)</f>
        <v>0.919058438029388</v>
      </c>
      <c r="O17" s="101" t="n">
        <f aca="false">IFERROR(O16/O10,0)</f>
        <v>0.91906564925154</v>
      </c>
      <c r="P17" s="101" t="n">
        <f aca="false">IFERROR(P16/P10,0)</f>
        <v>0.919065750709236</v>
      </c>
      <c r="Q17" s="101" t="n">
        <f aca="false">IFERROR(Q16/Q10,0)</f>
        <v>0.919058858381747</v>
      </c>
      <c r="R17" s="101" t="n">
        <f aca="false">IFERROR(R16/R10,0)</f>
        <v>0.919045085479309</v>
      </c>
      <c r="S17" s="101" t="n">
        <f aca="false">IFERROR(S16/S10,0)</f>
        <v>0.919024542500702</v>
      </c>
      <c r="T17" s="101" t="n">
        <f aca="false">IFERROR(T16/T10,0)</f>
        <v>0.918997337289525</v>
      </c>
      <c r="U17" s="101" t="n">
        <f aca="false">IFERROR(U16/U10,0)</f>
        <v>0.918963575089153</v>
      </c>
      <c r="V17" s="101" t="n">
        <f aca="false">IFERROR(V16/V10,0)</f>
        <v>0.918923358596445</v>
      </c>
      <c r="W17" s="101" t="n">
        <f aca="false">IFERROR(W16/W10,0)</f>
        <v>0.918876788014192</v>
      </c>
      <c r="X17" s="101" t="n">
        <f aca="false">IFERROR(X16/X10,0)</f>
        <v>0.918823961102361</v>
      </c>
      <c r="Y17" s="101" t="n">
        <f aca="false">IFERROR(Y16/Y10,0)</f>
        <v>0.918764973228143</v>
      </c>
      <c r="Z17" s="101" t="n">
        <f aca="false">IFERROR(Z16/Z10,0)</f>
        <v>0.918699917414831</v>
      </c>
      <c r="AA17" s="101" t="n">
        <f aca="false">IFERROR(AA16/AA10,0)</f>
        <v>0.91862888438957</v>
      </c>
      <c r="AB17" s="101" t="n">
        <f aca="false">IFERROR(AB16/AB10,0)</f>
        <v>0.918551962629968</v>
      </c>
      <c r="AC17" s="101" t="n">
        <f aca="false">IFERROR(AC16/AC10,0)</f>
        <v>0.918469238409633</v>
      </c>
      <c r="AD17" s="101" t="n">
        <f aca="false">IFERROR(AD16/AD10,0)</f>
        <v>0.918380795842622</v>
      </c>
      <c r="AE17" s="101" t="n">
        <f aca="false">IFERROR(AE16/AE10,0)</f>
        <v>0.918286716926847</v>
      </c>
      <c r="AF17" s="101" t="n">
        <f aca="false">IFERROR(AF16/AF10,0)</f>
        <v>0.918187081586452</v>
      </c>
      <c r="AG17" s="101" t="n">
        <f aca="false">IFERROR(AG16/AG10,0)</f>
        <v>0.918081967713179</v>
      </c>
    </row>
    <row r="19" customFormat="false" ht="21.75" hidden="false" customHeight="true" outlineLevel="0" collapsed="false">
      <c r="B19" s="61" t="s">
        <v>457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</row>
    <row r="20" customFormat="false" ht="15" hidden="false" customHeight="true" outlineLevel="0" collapsed="false">
      <c r="B20" s="65" t="s">
        <v>458</v>
      </c>
      <c r="C20" s="63" t="s">
        <v>351</v>
      </c>
      <c r="D20" s="66" t="n">
        <f aca="false">-'04_CAPEX'!$I$33/'02_Assumptions'!$D$25</f>
        <v>-151.708575</v>
      </c>
      <c r="E20" s="66" t="n">
        <f aca="false">-'04_CAPEX'!$I$33/'02_Assumptions'!$D$25</f>
        <v>-151.708575</v>
      </c>
      <c r="F20" s="66" t="n">
        <f aca="false">-'04_CAPEX'!$I$33/'02_Assumptions'!$D$25</f>
        <v>-151.708575</v>
      </c>
      <c r="G20" s="66" t="n">
        <f aca="false">-'04_CAPEX'!$I$33/'02_Assumptions'!$D$25</f>
        <v>-151.708575</v>
      </c>
      <c r="H20" s="66" t="n">
        <f aca="false">-'04_CAPEX'!$I$33/'02_Assumptions'!$D$25</f>
        <v>-151.708575</v>
      </c>
      <c r="I20" s="66" t="n">
        <f aca="false">-'04_CAPEX'!$I$33/'02_Assumptions'!$D$25</f>
        <v>-151.708575</v>
      </c>
      <c r="J20" s="66" t="n">
        <f aca="false">-'04_CAPEX'!$I$33/'02_Assumptions'!$D$25</f>
        <v>-151.708575</v>
      </c>
      <c r="K20" s="66" t="n">
        <f aca="false">-'04_CAPEX'!$I$33/'02_Assumptions'!$D$25</f>
        <v>-151.708575</v>
      </c>
      <c r="L20" s="66" t="n">
        <f aca="false">-'04_CAPEX'!$I$33/'02_Assumptions'!$D$25</f>
        <v>-151.708575</v>
      </c>
      <c r="M20" s="66" t="n">
        <f aca="false">-'04_CAPEX'!$I$33/'02_Assumptions'!$D$25</f>
        <v>-151.708575</v>
      </c>
      <c r="N20" s="66" t="n">
        <f aca="false">-'04_CAPEX'!$I$33/'02_Assumptions'!$D$25</f>
        <v>-151.708575</v>
      </c>
      <c r="O20" s="66" t="n">
        <f aca="false">-'04_CAPEX'!$I$33/'02_Assumptions'!$D$25</f>
        <v>-151.708575</v>
      </c>
      <c r="P20" s="66" t="n">
        <f aca="false">-'04_CAPEX'!$I$33/'02_Assumptions'!$D$25</f>
        <v>-151.708575</v>
      </c>
      <c r="Q20" s="66" t="n">
        <f aca="false">-'04_CAPEX'!$I$33/'02_Assumptions'!$D$25</f>
        <v>-151.708575</v>
      </c>
      <c r="R20" s="66" t="n">
        <f aca="false">-'04_CAPEX'!$I$33/'02_Assumptions'!$D$25</f>
        <v>-151.708575</v>
      </c>
      <c r="S20" s="66" t="n">
        <f aca="false">-'04_CAPEX'!$I$33/'02_Assumptions'!$D$25</f>
        <v>-151.708575</v>
      </c>
      <c r="T20" s="66" t="n">
        <f aca="false">-'04_CAPEX'!$I$33/'02_Assumptions'!$D$25</f>
        <v>-151.708575</v>
      </c>
      <c r="U20" s="66" t="n">
        <f aca="false">-'04_CAPEX'!$I$33/'02_Assumptions'!$D$25</f>
        <v>-151.708575</v>
      </c>
      <c r="V20" s="66" t="n">
        <f aca="false">-'04_CAPEX'!$I$33/'02_Assumptions'!$D$25</f>
        <v>-151.708575</v>
      </c>
      <c r="W20" s="66" t="n">
        <f aca="false">-'04_CAPEX'!$I$33/'02_Assumptions'!$D$25</f>
        <v>-151.708575</v>
      </c>
      <c r="X20" s="66" t="n">
        <f aca="false">-'04_CAPEX'!$I$33/'02_Assumptions'!$D$25</f>
        <v>-151.708575</v>
      </c>
      <c r="Y20" s="66" t="n">
        <f aca="false">-'04_CAPEX'!$I$33/'02_Assumptions'!$D$25</f>
        <v>-151.708575</v>
      </c>
      <c r="Z20" s="66" t="n">
        <f aca="false">-'04_CAPEX'!$I$33/'02_Assumptions'!$D$25</f>
        <v>-151.708575</v>
      </c>
      <c r="AA20" s="66" t="n">
        <f aca="false">-'04_CAPEX'!$I$33/'02_Assumptions'!$D$25</f>
        <v>-151.708575</v>
      </c>
      <c r="AB20" s="66" t="n">
        <f aca="false">-'04_CAPEX'!$I$33/'02_Assumptions'!$D$25</f>
        <v>-151.708575</v>
      </c>
      <c r="AC20" s="66" t="n">
        <f aca="false">-'04_CAPEX'!$I$33/'02_Assumptions'!$D$25</f>
        <v>-151.708575</v>
      </c>
      <c r="AD20" s="66" t="n">
        <f aca="false">-'04_CAPEX'!$I$33/'02_Assumptions'!$D$25</f>
        <v>-151.708575</v>
      </c>
      <c r="AE20" s="66" t="n">
        <f aca="false">-'04_CAPEX'!$I$33/'02_Assumptions'!$D$25</f>
        <v>-151.708575</v>
      </c>
      <c r="AF20" s="66" t="n">
        <f aca="false">-'04_CAPEX'!$I$33/'02_Assumptions'!$D$25</f>
        <v>-151.708575</v>
      </c>
      <c r="AG20" s="66" t="n">
        <f aca="false">-'04_CAPEX'!$I$33/'02_Assumptions'!$D$25</f>
        <v>-151.708575</v>
      </c>
    </row>
    <row r="22" customFormat="false" ht="21.75" hidden="false" customHeight="true" outlineLevel="0" collapsed="false">
      <c r="B22" s="61" t="s">
        <v>459</v>
      </c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</row>
    <row r="23" customFormat="false" ht="15" hidden="false" customHeight="true" outlineLevel="0" collapsed="false">
      <c r="B23" s="95" t="s">
        <v>459</v>
      </c>
      <c r="C23" s="96" t="s">
        <v>351</v>
      </c>
      <c r="D23" s="97" t="n">
        <f aca="false">D16+D20</f>
        <v>-94.298895975</v>
      </c>
      <c r="E23" s="97" t="n">
        <f aca="false">E16+E20</f>
        <v>-93.2106013476</v>
      </c>
      <c r="F23" s="97" t="n">
        <f aca="false">F16+F20</f>
        <v>1262.36398481365</v>
      </c>
      <c r="G23" s="97" t="n">
        <f aca="false">G16+G20</f>
        <v>1290.48807658181</v>
      </c>
      <c r="H23" s="97" t="n">
        <f aca="false">H16+H20</f>
        <v>1351.37796946677</v>
      </c>
      <c r="I23" s="97" t="n">
        <f aca="false">I16+I20</f>
        <v>1381.25213598002</v>
      </c>
      <c r="J23" s="97" t="n">
        <f aca="false">J16+J20</f>
        <v>1411.70821841228</v>
      </c>
      <c r="K23" s="97" t="n">
        <f aca="false">K16+K20</f>
        <v>1442.75753512374</v>
      </c>
      <c r="L23" s="97" t="n">
        <f aca="false">L16+L20</f>
        <v>1474.41162310924</v>
      </c>
      <c r="M23" s="97" t="n">
        <f aca="false">M16+M20</f>
        <v>1506.68224217901</v>
      </c>
      <c r="N23" s="97" t="n">
        <f aca="false">N16+N20</f>
        <v>1539.58137921811</v>
      </c>
      <c r="O23" s="97" t="n">
        <f aca="false">O16+O20</f>
        <v>1573.12125252578</v>
      </c>
      <c r="P23" s="97" t="n">
        <f aca="false">P16+P20</f>
        <v>1607.31431623632</v>
      </c>
      <c r="Q23" s="97" t="n">
        <f aca="false">Q16+Q20</f>
        <v>1642.17326482291</v>
      </c>
      <c r="R23" s="97" t="n">
        <f aca="false">R16+R20</f>
        <v>1677.7110376859</v>
      </c>
      <c r="S23" s="97" t="n">
        <f aca="false">S16+S20</f>
        <v>1713.94082382704</v>
      </c>
      <c r="T23" s="97" t="n">
        <f aca="false">T16+T20</f>
        <v>1750.87606661136</v>
      </c>
      <c r="U23" s="97" t="n">
        <f aca="false">U16+U20</f>
        <v>1788.53046861808</v>
      </c>
      <c r="V23" s="97" t="n">
        <f aca="false">V16+V20</f>
        <v>1826.91799658233</v>
      </c>
      <c r="W23" s="97" t="n">
        <f aca="false">W16+W20</f>
        <v>1866.0528864292</v>
      </c>
      <c r="X23" s="97" t="n">
        <f aca="false">X16+X20</f>
        <v>1905.94964840189</v>
      </c>
      <c r="Y23" s="97" t="n">
        <f aca="false">Y16+Y20</f>
        <v>1946.62307228556</v>
      </c>
      <c r="Z23" s="97" t="n">
        <f aca="false">Z16+Z20</f>
        <v>1988.08823272865</v>
      </c>
      <c r="AA23" s="97" t="n">
        <f aca="false">AA16+AA20</f>
        <v>2030.36049466336</v>
      </c>
      <c r="AB23" s="97" t="n">
        <f aca="false">AB16+AB20</f>
        <v>2073.45551882725</v>
      </c>
      <c r="AC23" s="97" t="n">
        <f aca="false">AC16+AC20</f>
        <v>2117.38926738741</v>
      </c>
      <c r="AD23" s="97" t="n">
        <f aca="false">AD16+AD20</f>
        <v>2162.1780096695</v>
      </c>
      <c r="AE23" s="97" t="n">
        <f aca="false">AE16+AE20</f>
        <v>2207.83832799307</v>
      </c>
      <c r="AF23" s="97" t="n">
        <f aca="false">AF16+AF20</f>
        <v>2254.38712361541</v>
      </c>
      <c r="AG23" s="97" t="n">
        <f aca="false">AG16+AG20</f>
        <v>2301.84162278566</v>
      </c>
    </row>
    <row r="25" customFormat="false" ht="21.75" hidden="false" customHeight="true" outlineLevel="0" collapsed="false">
      <c r="B25" s="61" t="s">
        <v>460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  <c r="AA25" s="2"/>
      <c r="AB25" s="2"/>
      <c r="AC25" s="2"/>
      <c r="AD25" s="2"/>
      <c r="AE25" s="2"/>
      <c r="AF25" s="2"/>
      <c r="AG25" s="2"/>
    </row>
    <row r="26" customFormat="false" ht="15" hidden="false" customHeight="true" outlineLevel="0" collapsed="false">
      <c r="B26" s="65" t="s">
        <v>461</v>
      </c>
      <c r="C26" s="63" t="s">
        <v>351</v>
      </c>
      <c r="D26" s="66" t="n">
        <f aca="false">-'06_Debt'!D32</f>
        <v>-275.1235007625</v>
      </c>
      <c r="E26" s="66" t="n">
        <f aca="false">-'06_Debt'!E32</f>
        <v>-275.1235007625</v>
      </c>
      <c r="F26" s="66" t="n">
        <f aca="false">-'06_Debt'!F32</f>
        <v>-275.1235007625</v>
      </c>
      <c r="G26" s="66" t="n">
        <f aca="false">-'06_Debt'!G32</f>
        <v>-267.670121374166</v>
      </c>
      <c r="H26" s="66" t="n">
        <f aca="false">-'06_Debt'!H32</f>
        <v>-259.508763843645</v>
      </c>
      <c r="I26" s="66" t="n">
        <f aca="false">-'06_Debt'!I32</f>
        <v>-250.570687468025</v>
      </c>
      <c r="J26" s="66" t="n">
        <f aca="false">-'06_Debt'!J32</f>
        <v>-240.780353545744</v>
      </c>
      <c r="K26" s="66" t="n">
        <f aca="false">-'06_Debt'!K32</f>
        <v>-230.054743069858</v>
      </c>
      <c r="L26" s="66" t="n">
        <f aca="false">-'06_Debt'!L32</f>
        <v>-218.302605140358</v>
      </c>
      <c r="M26" s="66" t="n">
        <f aca="false">-'06_Debt'!M32</f>
        <v>-205.423628998091</v>
      </c>
      <c r="N26" s="66" t="n">
        <f aca="false">-'06_Debt'!N32</f>
        <v>-191.307531850953</v>
      </c>
      <c r="O26" s="66" t="n">
        <f aca="false">-'06_Debt'!O32</f>
        <v>-175.833053855187</v>
      </c>
      <c r="P26" s="66" t="n">
        <f aca="false">-'06_Debt'!P32</f>
        <v>-158.866850723075</v>
      </c>
      <c r="Q26" s="66" t="n">
        <f aca="false">-'06_Debt'!Q32</f>
        <v>-140.262273444291</v>
      </c>
      <c r="R26" s="66" t="n">
        <f aca="false">-'06_Debt'!R32</f>
        <v>-119.858023522099</v>
      </c>
      <c r="S26" s="66" t="n">
        <f aca="false">-'06_Debt'!S32</f>
        <v>-97.4766709267563</v>
      </c>
      <c r="T26" s="66" t="n">
        <f aca="false">-'06_Debt'!T32</f>
        <v>-72.923020645233</v>
      </c>
      <c r="U26" s="66" t="n">
        <f aca="false">-'06_Debt'!U32</f>
        <v>-45.9823122457049</v>
      </c>
      <c r="V26" s="66" t="n">
        <f aca="false">-'06_Debt'!V32</f>
        <v>-16.4182352628982</v>
      </c>
      <c r="W26" s="66" t="n">
        <f aca="false">-'06_Debt'!W32</f>
        <v>-8.50583272656181</v>
      </c>
      <c r="X26" s="66" t="n">
        <f aca="false">-'06_Debt'!X32</f>
        <v>-1.87796445061394E-013</v>
      </c>
      <c r="Y26" s="66" t="n">
        <f aca="false">-'06_Debt'!Y32</f>
        <v>-1.87796445061394E-013</v>
      </c>
      <c r="Z26" s="66" t="n">
        <f aca="false">-'06_Debt'!Z32</f>
        <v>-1.87796445061394E-013</v>
      </c>
      <c r="AA26" s="66" t="n">
        <f aca="false">-'06_Debt'!AA32</f>
        <v>-1.87796445061394E-013</v>
      </c>
      <c r="AB26" s="66" t="n">
        <f aca="false">-'06_Debt'!AB32</f>
        <v>-1.87796445061394E-013</v>
      </c>
      <c r="AC26" s="66" t="n">
        <f aca="false">-'06_Debt'!AC32</f>
        <v>-1.87796445061394E-013</v>
      </c>
      <c r="AD26" s="66" t="n">
        <f aca="false">-'06_Debt'!AD32</f>
        <v>-1.87796445061394E-013</v>
      </c>
      <c r="AE26" s="66" t="n">
        <f aca="false">-'06_Debt'!AE32</f>
        <v>-1.87796445061394E-013</v>
      </c>
      <c r="AF26" s="66" t="n">
        <f aca="false">-'06_Debt'!AF32</f>
        <v>-1.87796445061394E-013</v>
      </c>
      <c r="AG26" s="66" t="n">
        <f aca="false">-'06_Debt'!AG32</f>
        <v>-1.87796445061394E-013</v>
      </c>
    </row>
    <row r="28" customFormat="false" ht="21.75" hidden="false" customHeight="true" outlineLevel="0" collapsed="false">
      <c r="B28" s="61" t="s">
        <v>462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</row>
    <row r="29" customFormat="false" ht="15" hidden="false" customHeight="true" outlineLevel="0" collapsed="false">
      <c r="B29" s="95" t="s">
        <v>462</v>
      </c>
      <c r="C29" s="96" t="s">
        <v>351</v>
      </c>
      <c r="D29" s="97" t="n">
        <f aca="false">D23+D26</f>
        <v>-369.4223967375</v>
      </c>
      <c r="E29" s="97" t="n">
        <f aca="false">E23+E26</f>
        <v>-368.3341021101</v>
      </c>
      <c r="F29" s="97" t="n">
        <f aca="false">F23+F26</f>
        <v>987.240484051146</v>
      </c>
      <c r="G29" s="97" t="n">
        <f aca="false">G23+G26</f>
        <v>1022.81795520764</v>
      </c>
      <c r="H29" s="97" t="n">
        <f aca="false">H23+H26</f>
        <v>1091.86920562312</v>
      </c>
      <c r="I29" s="97" t="n">
        <f aca="false">I23+I26</f>
        <v>1130.68144851199</v>
      </c>
      <c r="J29" s="97" t="n">
        <f aca="false">J23+J26</f>
        <v>1170.92786486654</v>
      </c>
      <c r="K29" s="97" t="n">
        <f aca="false">K23+K26</f>
        <v>1212.70279205388</v>
      </c>
      <c r="L29" s="97" t="n">
        <f aca="false">L23+L26</f>
        <v>1256.10901796888</v>
      </c>
      <c r="M29" s="97" t="n">
        <f aca="false">M23+M26</f>
        <v>1301.25861318092</v>
      </c>
      <c r="N29" s="97" t="n">
        <f aca="false">N23+N26</f>
        <v>1348.27384736715</v>
      </c>
      <c r="O29" s="97" t="n">
        <f aca="false">O23+O26</f>
        <v>1397.28819867059</v>
      </c>
      <c r="P29" s="97" t="n">
        <f aca="false">P23+P26</f>
        <v>1448.44746551324</v>
      </c>
      <c r="Q29" s="97" t="n">
        <f aca="false">Q23+Q26</f>
        <v>1501.91099137862</v>
      </c>
      <c r="R29" s="97" t="n">
        <f aca="false">R23+R26</f>
        <v>1557.8530141638</v>
      </c>
      <c r="S29" s="97" t="n">
        <f aca="false">S23+S26</f>
        <v>1616.46415290028</v>
      </c>
      <c r="T29" s="97" t="n">
        <f aca="false">T23+T26</f>
        <v>1677.95304596613</v>
      </c>
      <c r="U29" s="97" t="n">
        <f aca="false">U23+U26</f>
        <v>1742.54815637238</v>
      </c>
      <c r="V29" s="97" t="n">
        <f aca="false">V23+V26</f>
        <v>1810.49976131943</v>
      </c>
      <c r="W29" s="97" t="n">
        <f aca="false">W23+W26</f>
        <v>1857.54705370264</v>
      </c>
      <c r="X29" s="97" t="n">
        <f aca="false">X23+X26</f>
        <v>1905.94964840189</v>
      </c>
      <c r="Y29" s="97" t="n">
        <f aca="false">Y23+Y26</f>
        <v>1946.62307228556</v>
      </c>
      <c r="Z29" s="97" t="n">
        <f aca="false">Z23+Z26</f>
        <v>1988.08823272865</v>
      </c>
      <c r="AA29" s="97" t="n">
        <f aca="false">AA23+AA26</f>
        <v>2030.36049466336</v>
      </c>
      <c r="AB29" s="97" t="n">
        <f aca="false">AB23+AB26</f>
        <v>2073.45551882725</v>
      </c>
      <c r="AC29" s="97" t="n">
        <f aca="false">AC23+AC26</f>
        <v>2117.38926738741</v>
      </c>
      <c r="AD29" s="97" t="n">
        <f aca="false">AD23+AD26</f>
        <v>2162.1780096695</v>
      </c>
      <c r="AE29" s="97" t="n">
        <f aca="false">AE23+AE26</f>
        <v>2207.83832799307</v>
      </c>
      <c r="AF29" s="97" t="n">
        <f aca="false">AF23+AF26</f>
        <v>2254.38712361541</v>
      </c>
      <c r="AG29" s="97" t="n">
        <f aca="false">AG23+AG26</f>
        <v>2301.84162278566</v>
      </c>
    </row>
    <row r="31" customFormat="false" ht="21.75" hidden="false" customHeight="true" outlineLevel="0" collapsed="false">
      <c r="B31" s="61" t="s">
        <v>463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  <c r="AA31" s="2"/>
      <c r="AB31" s="2"/>
      <c r="AC31" s="2"/>
      <c r="AD31" s="2"/>
      <c r="AE31" s="2"/>
      <c r="AF31" s="2"/>
      <c r="AG31" s="2"/>
    </row>
    <row r="32" customFormat="false" ht="15" hidden="false" customHeight="true" outlineLevel="0" collapsed="false">
      <c r="B32" s="65" t="s">
        <v>464</v>
      </c>
      <c r="C32" s="63" t="s">
        <v>351</v>
      </c>
      <c r="D32" s="66" t="n">
        <f aca="false">-MAX(D29,0)*'02_Assumptions'!$D$72*IF(D$7&lt;='02_Assumptions'!$D$74,1-'02_Assumptions'!$D$73,1)</f>
        <v>-0</v>
      </c>
      <c r="E32" s="66" t="n">
        <f aca="false">-MAX(E29,0)*'02_Assumptions'!$D$72*IF(E$7&lt;='02_Assumptions'!$D$74,1-'02_Assumptions'!$D$73,1)</f>
        <v>-0</v>
      </c>
      <c r="F32" s="66" t="n">
        <f aca="false">-MAX(F29,0)*'02_Assumptions'!$D$72*IF(F$7&lt;='02_Assumptions'!$D$74,1-'02_Assumptions'!$D$73,1)</f>
        <v>-61.7025302531966</v>
      </c>
      <c r="G32" s="66" t="n">
        <f aca="false">-MAX(G29,0)*'02_Assumptions'!$D$72*IF(G$7&lt;='02_Assumptions'!$D$74,1-'02_Assumptions'!$D$73,1)</f>
        <v>-63.9261222004777</v>
      </c>
      <c r="H32" s="66" t="n">
        <f aca="false">-MAX(H29,0)*'02_Assumptions'!$D$72*IF(H$7&lt;='02_Assumptions'!$D$74,1-'02_Assumptions'!$D$73,1)</f>
        <v>-68.2418253514451</v>
      </c>
      <c r="I32" s="66" t="n">
        <f aca="false">-MAX(I29,0)*'02_Assumptions'!$D$72*IF(I$7&lt;='02_Assumptions'!$D$74,1-'02_Assumptions'!$D$73,1)</f>
        <v>-70.6675905319996</v>
      </c>
      <c r="J32" s="66" t="n">
        <f aca="false">-MAX(J29,0)*'02_Assumptions'!$D$72*IF(J$7&lt;='02_Assumptions'!$D$74,1-'02_Assumptions'!$D$73,1)</f>
        <v>-73.1829915541585</v>
      </c>
      <c r="K32" s="66" t="n">
        <f aca="false">-MAX(K29,0)*'02_Assumptions'!$D$72*IF(K$7&lt;='02_Assumptions'!$D$74,1-'02_Assumptions'!$D$73,1)</f>
        <v>-75.7939245033678</v>
      </c>
      <c r="L32" s="66" t="n">
        <f aca="false">-MAX(L29,0)*'02_Assumptions'!$D$72*IF(L$7&lt;='02_Assumptions'!$D$74,1-'02_Assumptions'!$D$73,1)</f>
        <v>-78.5068136230548</v>
      </c>
      <c r="M32" s="66" t="n">
        <f aca="false">-MAX(M29,0)*'02_Assumptions'!$D$72*IF(M$7&lt;='02_Assumptions'!$D$74,1-'02_Assumptions'!$D$73,1)</f>
        <v>-81.3286633238073</v>
      </c>
      <c r="N32" s="66" t="n">
        <f aca="false">-MAX(N29,0)*'02_Assumptions'!$D$72*IF(N$7&lt;='02_Assumptions'!$D$74,1-'02_Assumptions'!$D$73,1)</f>
        <v>-337.068461841788</v>
      </c>
      <c r="O32" s="66" t="n">
        <f aca="false">-MAX(O29,0)*'02_Assumptions'!$D$72*IF(O$7&lt;='02_Assumptions'!$D$74,1-'02_Assumptions'!$D$73,1)</f>
        <v>-349.322049667647</v>
      </c>
      <c r="P32" s="66" t="n">
        <f aca="false">-MAX(P29,0)*'02_Assumptions'!$D$72*IF(P$7&lt;='02_Assumptions'!$D$74,1-'02_Assumptions'!$D$73,1)</f>
        <v>-362.111866378311</v>
      </c>
      <c r="Q32" s="66" t="n">
        <f aca="false">-MAX(Q29,0)*'02_Assumptions'!$D$72*IF(Q$7&lt;='02_Assumptions'!$D$74,1-'02_Assumptions'!$D$73,1)</f>
        <v>-375.477747844655</v>
      </c>
      <c r="R32" s="66" t="n">
        <f aca="false">-MAX(R29,0)*'02_Assumptions'!$D$72*IF(R$7&lt;='02_Assumptions'!$D$74,1-'02_Assumptions'!$D$73,1)</f>
        <v>-389.46325354095</v>
      </c>
      <c r="S32" s="66" t="n">
        <f aca="false">-MAX(S29,0)*'02_Assumptions'!$D$72*IF(S$7&lt;='02_Assumptions'!$D$74,1-'02_Assumptions'!$D$73,1)</f>
        <v>-404.116038225071</v>
      </c>
      <c r="T32" s="66" t="n">
        <f aca="false">-MAX(T29,0)*'02_Assumptions'!$D$72*IF(T$7&lt;='02_Assumptions'!$D$74,1-'02_Assumptions'!$D$73,1)</f>
        <v>-419.488261491532</v>
      </c>
      <c r="U32" s="66" t="n">
        <f aca="false">-MAX(U29,0)*'02_Assumptions'!$D$72*IF(U$7&lt;='02_Assumptions'!$D$74,1-'02_Assumptions'!$D$73,1)</f>
        <v>-435.637039093095</v>
      </c>
      <c r="V32" s="66" t="n">
        <f aca="false">-MAX(V29,0)*'02_Assumptions'!$D$72*IF(V$7&lt;='02_Assumptions'!$D$74,1-'02_Assumptions'!$D$73,1)</f>
        <v>-452.624940329858</v>
      </c>
      <c r="W32" s="66" t="n">
        <f aca="false">-MAX(W29,0)*'02_Assumptions'!$D$72*IF(W$7&lt;='02_Assumptions'!$D$74,1-'02_Assumptions'!$D$73,1)</f>
        <v>-464.386763425659</v>
      </c>
      <c r="X32" s="66" t="n">
        <f aca="false">-MAX(X29,0)*'02_Assumptions'!$D$72*IF(X$7&lt;='02_Assumptions'!$D$74,1-'02_Assumptions'!$D$73,1)</f>
        <v>-476.487412100473</v>
      </c>
      <c r="Y32" s="66" t="n">
        <f aca="false">-MAX(Y29,0)*'02_Assumptions'!$D$72*IF(Y$7&lt;='02_Assumptions'!$D$74,1-'02_Assumptions'!$D$73,1)</f>
        <v>-486.655768071391</v>
      </c>
      <c r="Z32" s="66" t="n">
        <f aca="false">-MAX(Z29,0)*'02_Assumptions'!$D$72*IF(Z$7&lt;='02_Assumptions'!$D$74,1-'02_Assumptions'!$D$73,1)</f>
        <v>-497.022058182161</v>
      </c>
      <c r="AA32" s="66" t="n">
        <f aca="false">-MAX(AA29,0)*'02_Assumptions'!$D$72*IF(AA$7&lt;='02_Assumptions'!$D$74,1-'02_Assumptions'!$D$73,1)</f>
        <v>-507.590123665841</v>
      </c>
      <c r="AB32" s="66" t="n">
        <f aca="false">-MAX(AB29,0)*'02_Assumptions'!$D$72*IF(AB$7&lt;='02_Assumptions'!$D$74,1-'02_Assumptions'!$D$73,1)</f>
        <v>-518.363879706812</v>
      </c>
      <c r="AC32" s="66" t="n">
        <f aca="false">-MAX(AC29,0)*'02_Assumptions'!$D$72*IF(AC$7&lt;='02_Assumptions'!$D$74,1-'02_Assumptions'!$D$73,1)</f>
        <v>-529.347316846853</v>
      </c>
      <c r="AD32" s="66" t="n">
        <f aca="false">-MAX(AD29,0)*'02_Assumptions'!$D$72*IF(AD$7&lt;='02_Assumptions'!$D$74,1-'02_Assumptions'!$D$73,1)</f>
        <v>-540.544502417374</v>
      </c>
      <c r="AE32" s="66" t="n">
        <f aca="false">-MAX(AE29,0)*'02_Assumptions'!$D$72*IF(AE$7&lt;='02_Assumptions'!$D$74,1-'02_Assumptions'!$D$73,1)</f>
        <v>-551.959581998266</v>
      </c>
      <c r="AF32" s="66" t="n">
        <f aca="false">-MAX(AF29,0)*'02_Assumptions'!$D$72*IF(AF$7&lt;='02_Assumptions'!$D$74,1-'02_Assumptions'!$D$73,1)</f>
        <v>-563.596780903853</v>
      </c>
      <c r="AG32" s="66" t="n">
        <f aca="false">-MAX(AG29,0)*'02_Assumptions'!$D$72*IF(AG$7&lt;='02_Assumptions'!$D$74,1-'02_Assumptions'!$D$73,1)</f>
        <v>-575.460405696415</v>
      </c>
    </row>
    <row r="33" customFormat="false" ht="15" hidden="false" customHeight="true" outlineLevel="0" collapsed="false">
      <c r="B33" s="65" t="s">
        <v>465</v>
      </c>
      <c r="C33" s="63" t="s">
        <v>351</v>
      </c>
      <c r="D33" s="66" t="n">
        <f aca="false">-MAX(D29,0)*'02_Assumptions'!$D$75</f>
        <v>-0</v>
      </c>
      <c r="E33" s="66" t="n">
        <f aca="false">-MAX(E29,0)*'02_Assumptions'!$D$75</f>
        <v>-0</v>
      </c>
      <c r="F33" s="66" t="n">
        <f aca="false">-MAX(F29,0)*'02_Assumptions'!$D$75</f>
        <v>-88.8516435646031</v>
      </c>
      <c r="G33" s="66" t="n">
        <f aca="false">-MAX(G29,0)*'02_Assumptions'!$D$75</f>
        <v>-92.0536159686878</v>
      </c>
      <c r="H33" s="66" t="n">
        <f aca="false">-MAX(H29,0)*'02_Assumptions'!$D$75</f>
        <v>-98.268228506081</v>
      </c>
      <c r="I33" s="66" t="n">
        <f aca="false">-MAX(I29,0)*'02_Assumptions'!$D$75</f>
        <v>-101.761330366079</v>
      </c>
      <c r="J33" s="66" t="n">
        <f aca="false">-MAX(J29,0)*'02_Assumptions'!$D$75</f>
        <v>-105.383507837988</v>
      </c>
      <c r="K33" s="66" t="n">
        <f aca="false">-MAX(K29,0)*'02_Assumptions'!$D$75</f>
        <v>-109.14325128485</v>
      </c>
      <c r="L33" s="66" t="n">
        <f aca="false">-MAX(L29,0)*'02_Assumptions'!$D$75</f>
        <v>-113.049811617199</v>
      </c>
      <c r="M33" s="66" t="n">
        <f aca="false">-MAX(M29,0)*'02_Assumptions'!$D$75</f>
        <v>-117.113275186282</v>
      </c>
      <c r="N33" s="66" t="n">
        <f aca="false">-MAX(N29,0)*'02_Assumptions'!$D$75</f>
        <v>-121.344646263044</v>
      </c>
      <c r="O33" s="66" t="n">
        <f aca="false">-MAX(O29,0)*'02_Assumptions'!$D$75</f>
        <v>-125.755937880353</v>
      </c>
      <c r="P33" s="66" t="n">
        <f aca="false">-MAX(P29,0)*'02_Assumptions'!$D$75</f>
        <v>-130.360271896192</v>
      </c>
      <c r="Q33" s="66" t="n">
        <f aca="false">-MAX(Q29,0)*'02_Assumptions'!$D$75</f>
        <v>-135.171989224076</v>
      </c>
      <c r="R33" s="66" t="n">
        <f aca="false">-MAX(R29,0)*'02_Assumptions'!$D$75</f>
        <v>-140.206771274742</v>
      </c>
      <c r="S33" s="66" t="n">
        <f aca="false">-MAX(S29,0)*'02_Assumptions'!$D$75</f>
        <v>-145.481773761026</v>
      </c>
      <c r="T33" s="66" t="n">
        <f aca="false">-MAX(T29,0)*'02_Assumptions'!$D$75</f>
        <v>-151.015774136952</v>
      </c>
      <c r="U33" s="66" t="n">
        <f aca="false">-MAX(U29,0)*'02_Assumptions'!$D$75</f>
        <v>-156.829334073514</v>
      </c>
      <c r="V33" s="66" t="n">
        <f aca="false">-MAX(V29,0)*'02_Assumptions'!$D$75</f>
        <v>-162.944978518749</v>
      </c>
      <c r="W33" s="66" t="n">
        <f aca="false">-MAX(W29,0)*'02_Assumptions'!$D$75</f>
        <v>-167.179234833237</v>
      </c>
      <c r="X33" s="66" t="n">
        <f aca="false">-MAX(X29,0)*'02_Assumptions'!$D$75</f>
        <v>-171.53546835617</v>
      </c>
      <c r="Y33" s="66" t="n">
        <f aca="false">-MAX(Y29,0)*'02_Assumptions'!$D$75</f>
        <v>-175.196076505701</v>
      </c>
      <c r="Z33" s="66" t="n">
        <f aca="false">-MAX(Z29,0)*'02_Assumptions'!$D$75</f>
        <v>-178.927940945578</v>
      </c>
      <c r="AA33" s="66" t="n">
        <f aca="false">-MAX(AA29,0)*'02_Assumptions'!$D$75</f>
        <v>-182.732444519703</v>
      </c>
      <c r="AB33" s="66" t="n">
        <f aca="false">-MAX(AB29,0)*'02_Assumptions'!$D$75</f>
        <v>-186.610996694452</v>
      </c>
      <c r="AC33" s="66" t="n">
        <f aca="false">-MAX(AC29,0)*'02_Assumptions'!$D$75</f>
        <v>-190.565034064867</v>
      </c>
      <c r="AD33" s="66" t="n">
        <f aca="false">-MAX(AD29,0)*'02_Assumptions'!$D$75</f>
        <v>-194.596020870255</v>
      </c>
      <c r="AE33" s="66" t="n">
        <f aca="false">-MAX(AE29,0)*'02_Assumptions'!$D$75</f>
        <v>-198.705449519376</v>
      </c>
      <c r="AF33" s="66" t="n">
        <f aca="false">-MAX(AF29,0)*'02_Assumptions'!$D$75</f>
        <v>-202.894841125387</v>
      </c>
      <c r="AG33" s="66" t="n">
        <f aca="false">-MAX(AG29,0)*'02_Assumptions'!$D$75</f>
        <v>-207.16574605071</v>
      </c>
    </row>
    <row r="35" customFormat="false" ht="21.75" hidden="false" customHeight="true" outlineLevel="0" collapsed="false">
      <c r="B35" s="61" t="s">
        <v>466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  <c r="AA35" s="2"/>
      <c r="AB35" s="2"/>
      <c r="AC35" s="2"/>
      <c r="AD35" s="2"/>
      <c r="AE35" s="2"/>
      <c r="AF35" s="2"/>
      <c r="AG35" s="2"/>
    </row>
    <row r="36" customFormat="false" ht="15" hidden="false" customHeight="true" outlineLevel="0" collapsed="false">
      <c r="B36" s="98" t="s">
        <v>467</v>
      </c>
      <c r="C36" s="99" t="s">
        <v>351</v>
      </c>
      <c r="D36" s="100" t="n">
        <f aca="false">D29+D32+D33</f>
        <v>-369.4223967375</v>
      </c>
      <c r="E36" s="100" t="n">
        <f aca="false">E29+E32+E33</f>
        <v>-368.3341021101</v>
      </c>
      <c r="F36" s="100" t="n">
        <f aca="false">F29+F32+F33</f>
        <v>836.686310233346</v>
      </c>
      <c r="G36" s="100" t="n">
        <f aca="false">G29+G32+G33</f>
        <v>866.838217038477</v>
      </c>
      <c r="H36" s="100" t="n">
        <f aca="false">H29+H32+H33</f>
        <v>925.359151765596</v>
      </c>
      <c r="I36" s="100" t="n">
        <f aca="false">I29+I32+I33</f>
        <v>958.252527613915</v>
      </c>
      <c r="J36" s="100" t="n">
        <f aca="false">J29+J32+J33</f>
        <v>992.361365474389</v>
      </c>
      <c r="K36" s="100" t="n">
        <f aca="false">K29+K32+K33</f>
        <v>1027.76561626567</v>
      </c>
      <c r="L36" s="100" t="n">
        <f aca="false">L29+L32+L33</f>
        <v>1064.55239272862</v>
      </c>
      <c r="M36" s="100" t="n">
        <f aca="false">M29+M32+M33</f>
        <v>1102.81667467083</v>
      </c>
      <c r="N36" s="100" t="n">
        <f aca="false">N29+N32+N33</f>
        <v>889.860739262321</v>
      </c>
      <c r="O36" s="100" t="n">
        <f aca="false">O29+O32+O33</f>
        <v>922.210211122589</v>
      </c>
      <c r="P36" s="100" t="n">
        <f aca="false">P29+P32+P33</f>
        <v>955.975327238741</v>
      </c>
      <c r="Q36" s="100" t="n">
        <f aca="false">Q29+Q32+Q33</f>
        <v>991.26125430989</v>
      </c>
      <c r="R36" s="100" t="n">
        <f aca="false">R29+R32+R33</f>
        <v>1028.18298934811</v>
      </c>
      <c r="S36" s="100" t="n">
        <f aca="false">S29+S32+S33</f>
        <v>1066.86634091419</v>
      </c>
      <c r="T36" s="100" t="n">
        <f aca="false">T29+T32+T33</f>
        <v>1107.44901033765</v>
      </c>
      <c r="U36" s="100" t="n">
        <f aca="false">U29+U32+U33</f>
        <v>1150.08178320577</v>
      </c>
      <c r="V36" s="100" t="n">
        <f aca="false">V29+V32+V33</f>
        <v>1194.92984247082</v>
      </c>
      <c r="W36" s="100" t="n">
        <f aca="false">W29+W32+W33</f>
        <v>1225.98105544374</v>
      </c>
      <c r="X36" s="100" t="n">
        <f aca="false">X29+X32+X33</f>
        <v>1257.92676794525</v>
      </c>
      <c r="Y36" s="100" t="n">
        <f aca="false">Y29+Y32+Y33</f>
        <v>1284.77122770847</v>
      </c>
      <c r="Z36" s="100" t="n">
        <f aca="false">Z29+Z32+Z33</f>
        <v>1312.13823360091</v>
      </c>
      <c r="AA36" s="100" t="n">
        <f aca="false">AA29+AA32+AA33</f>
        <v>1340.03792647782</v>
      </c>
      <c r="AB36" s="100" t="n">
        <f aca="false">AB29+AB32+AB33</f>
        <v>1368.48064242598</v>
      </c>
      <c r="AC36" s="100" t="n">
        <f aca="false">AC29+AC32+AC33</f>
        <v>1397.47691647569</v>
      </c>
      <c r="AD36" s="100" t="n">
        <f aca="false">AD29+AD32+AD33</f>
        <v>1427.03748638187</v>
      </c>
      <c r="AE36" s="100" t="n">
        <f aca="false">AE29+AE32+AE33</f>
        <v>1457.17329647542</v>
      </c>
      <c r="AF36" s="100" t="n">
        <f aca="false">AF29+AF32+AF33</f>
        <v>1487.89550158617</v>
      </c>
      <c r="AG36" s="100" t="n">
        <f aca="false">AG29+AG32+AG33</f>
        <v>1519.21547103854</v>
      </c>
    </row>
    <row r="37" customFormat="false" ht="15" hidden="false" customHeight="true" outlineLevel="0" collapsed="false">
      <c r="B37" s="65" t="s">
        <v>468</v>
      </c>
      <c r="C37" s="63" t="s">
        <v>456</v>
      </c>
      <c r="D37" s="101" t="n">
        <f aca="false">IFERROR(D36/D10,0)</f>
        <v>-4.27737610322172</v>
      </c>
      <c r="E37" s="101" t="n">
        <f aca="false">IFERROR(E36/E10,0)</f>
        <v>-4.20294537956168</v>
      </c>
      <c r="F37" s="101" t="n">
        <f aca="false">IFERROR(F36/F10,0)</f>
        <v>0.542633466902781</v>
      </c>
      <c r="G37" s="101" t="n">
        <f aca="false">IFERROR(G36/G10,0)</f>
        <v>0.551267229736866</v>
      </c>
      <c r="H37" s="101" t="n">
        <f aca="false">IFERROR(H36/H10,0)</f>
        <v>0.565685717975051</v>
      </c>
      <c r="I37" s="101" t="n">
        <f aca="false">IFERROR(I36/I10,0)</f>
        <v>0.574410835890404</v>
      </c>
      <c r="J37" s="101" t="n">
        <f aca="false">IFERROR(J36/J10,0)</f>
        <v>0.583297115580639</v>
      </c>
      <c r="K37" s="101" t="n">
        <f aca="false">IFERROR(K36/K10,0)</f>
        <v>0.592367151998522</v>
      </c>
      <c r="L37" s="101" t="n">
        <f aca="false">IFERROR(L36/L10,0)</f>
        <v>0.601645125508168</v>
      </c>
      <c r="M37" s="101" t="n">
        <f aca="false">IFERROR(M36/M10,0)</f>
        <v>0.61115693328208</v>
      </c>
      <c r="N37" s="101" t="n">
        <f aca="false">IFERROR(N36/N10,0)</f>
        <v>0.48355636421207</v>
      </c>
      <c r="O37" s="101" t="n">
        <f aca="false">IFERROR(O36/O10,0)</f>
        <v>0.491394404773021</v>
      </c>
      <c r="P37" s="101" t="n">
        <f aca="false">IFERROR(P36/P10,0)</f>
        <v>0.499484222840704</v>
      </c>
      <c r="Q37" s="101" t="n">
        <f aca="false">IFERROR(Q36/Q10,0)</f>
        <v>0.507852533271668</v>
      </c>
      <c r="R37" s="101" t="n">
        <f aca="false">IFERROR(R36/R10,0)</f>
        <v>0.516528038062553</v>
      </c>
      <c r="S37" s="101" t="n">
        <f aca="false">IFERROR(S36/S10,0)</f>
        <v>0.525541589692307</v>
      </c>
      <c r="T37" s="101" t="n">
        <f aca="false">IFERROR(T36/T10,0)</f>
        <v>0.534926367755316</v>
      </c>
      <c r="U37" s="101" t="n">
        <f aca="false">IFERROR(U36/U10,0)</f>
        <v>0.544718069980103</v>
      </c>
      <c r="V37" s="101" t="n">
        <f aca="false">IFERROR(V36/V10,0)</f>
        <v>0.554955118818752</v>
      </c>
      <c r="W37" s="101" t="n">
        <f aca="false">IFERROR(W36/W10,0)</f>
        <v>0.558304614260233</v>
      </c>
      <c r="X37" s="101" t="n">
        <f aca="false">IFERROR(X36/X10,0)</f>
        <v>0.561712942681636</v>
      </c>
      <c r="Y37" s="101" t="n">
        <f aca="false">IFERROR(Y36/Y10,0)</f>
        <v>0.562543487420995</v>
      </c>
      <c r="Z37" s="101" t="n">
        <f aca="false">IFERROR(Z36/Z10,0)</f>
        <v>0.563353156940901</v>
      </c>
      <c r="AA37" s="101" t="n">
        <f aca="false">IFERROR(AA36/AA10,0)</f>
        <v>0.564142337451281</v>
      </c>
      <c r="AB37" s="101" t="n">
        <f aca="false">IFERROR(AB36/AB10,0)</f>
        <v>0.564911407391736</v>
      </c>
      <c r="AC37" s="101" t="n">
        <f aca="false">IFERROR(AC36/AC10,0)</f>
        <v>0.565660737581949</v>
      </c>
      <c r="AD37" s="101" t="n">
        <f aca="false">IFERROR(AD36/AD10,0)</f>
        <v>0.566390691369097</v>
      </c>
      <c r="AE37" s="101" t="n">
        <f aca="false">IFERROR(AE36/AE10,0)</f>
        <v>0.56710162477233</v>
      </c>
      <c r="AF37" s="101" t="n">
        <f aca="false">IFERROR(AF36/AF10,0)</f>
        <v>0.567793886624368</v>
      </c>
      <c r="AG37" s="101" t="n">
        <f aca="false">IFERROR(AG36/AG10,0)</f>
        <v>0.568467818710269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AG3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7" topLeftCell="D8" activePane="bottomRight" state="frozen"/>
      <selection pane="topLeft" activeCell="A1" activeCellId="0" sqref="A1"/>
      <selection pane="topRight" activeCell="D1" activeCellId="0" sqref="D1"/>
      <selection pane="bottomLeft" activeCell="A8" activeCellId="0" sqref="A8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0"/>
    <col collapsed="false" customWidth="true" hidden="false" outlineLevel="0" max="3" min="3" style="1" width="12"/>
    <col collapsed="false" customWidth="true" hidden="false" outlineLevel="0" max="33" min="4" style="1" width="11"/>
  </cols>
  <sheetData>
    <row r="2" customFormat="false" ht="24" hidden="false" customHeight="true" outlineLevel="0" collapsed="false">
      <c r="B2" s="93" t="s">
        <v>469</v>
      </c>
    </row>
    <row r="3" customFormat="false" ht="15" hidden="false" customHeight="true" outlineLevel="0" collapsed="false">
      <c r="B3" s="94" t="s">
        <v>470</v>
      </c>
    </row>
    <row r="5" customFormat="false" ht="21.75" hidden="false" customHeight="true" outlineLevel="0" collapsed="false">
      <c r="B5" s="56" t="s">
        <v>414</v>
      </c>
      <c r="C5" s="57" t="s">
        <v>284</v>
      </c>
      <c r="D5" s="58" t="s">
        <v>285</v>
      </c>
      <c r="E5" s="58" t="s">
        <v>286</v>
      </c>
      <c r="F5" s="58" t="s">
        <v>287</v>
      </c>
      <c r="G5" s="58" t="s">
        <v>288</v>
      </c>
      <c r="H5" s="58" t="s">
        <v>289</v>
      </c>
      <c r="I5" s="58" t="s">
        <v>290</v>
      </c>
      <c r="J5" s="58" t="s">
        <v>291</v>
      </c>
      <c r="K5" s="58" t="s">
        <v>292</v>
      </c>
      <c r="L5" s="58" t="s">
        <v>293</v>
      </c>
      <c r="M5" s="58" t="s">
        <v>294</v>
      </c>
      <c r="N5" s="58" t="s">
        <v>295</v>
      </c>
      <c r="O5" s="58" t="s">
        <v>296</v>
      </c>
      <c r="P5" s="58" t="s">
        <v>297</v>
      </c>
      <c r="Q5" s="58" t="s">
        <v>298</v>
      </c>
      <c r="R5" s="58" t="s">
        <v>299</v>
      </c>
      <c r="S5" s="58" t="s">
        <v>300</v>
      </c>
      <c r="T5" s="58" t="s">
        <v>301</v>
      </c>
      <c r="U5" s="58" t="s">
        <v>302</v>
      </c>
      <c r="V5" s="58" t="s">
        <v>303</v>
      </c>
      <c r="W5" s="58" t="s">
        <v>304</v>
      </c>
      <c r="X5" s="58" t="s">
        <v>305</v>
      </c>
      <c r="Y5" s="58" t="s">
        <v>306</v>
      </c>
      <c r="Z5" s="58" t="s">
        <v>307</v>
      </c>
      <c r="AA5" s="58" t="s">
        <v>308</v>
      </c>
      <c r="AB5" s="58" t="s">
        <v>309</v>
      </c>
      <c r="AC5" s="58" t="s">
        <v>310</v>
      </c>
      <c r="AD5" s="58" t="s">
        <v>311</v>
      </c>
      <c r="AE5" s="58" t="s">
        <v>312</v>
      </c>
      <c r="AF5" s="58" t="s">
        <v>313</v>
      </c>
      <c r="AG5" s="58" t="s">
        <v>314</v>
      </c>
    </row>
    <row r="6" customFormat="false" ht="15" hidden="false" customHeight="true" outlineLevel="0" collapsed="false">
      <c r="D6" s="59" t="s">
        <v>315</v>
      </c>
      <c r="E6" s="59" t="s">
        <v>316</v>
      </c>
      <c r="F6" s="59" t="s">
        <v>317</v>
      </c>
      <c r="G6" s="59" t="s">
        <v>318</v>
      </c>
      <c r="H6" s="59" t="s">
        <v>319</v>
      </c>
      <c r="I6" s="59" t="s">
        <v>320</v>
      </c>
      <c r="J6" s="59" t="s">
        <v>321</v>
      </c>
      <c r="K6" s="59" t="s">
        <v>322</v>
      </c>
      <c r="L6" s="59" t="s">
        <v>323</v>
      </c>
      <c r="M6" s="59" t="s">
        <v>324</v>
      </c>
      <c r="N6" s="59" t="s">
        <v>325</v>
      </c>
      <c r="O6" s="59" t="s">
        <v>326</v>
      </c>
      <c r="P6" s="59" t="s">
        <v>327</v>
      </c>
      <c r="Q6" s="59" t="s">
        <v>328</v>
      </c>
      <c r="R6" s="59" t="s">
        <v>329</v>
      </c>
      <c r="S6" s="59" t="s">
        <v>330</v>
      </c>
      <c r="T6" s="59" t="s">
        <v>331</v>
      </c>
      <c r="U6" s="59" t="s">
        <v>332</v>
      </c>
      <c r="V6" s="59" t="s">
        <v>333</v>
      </c>
      <c r="W6" s="59" t="s">
        <v>334</v>
      </c>
      <c r="X6" s="59" t="s">
        <v>335</v>
      </c>
      <c r="Y6" s="59" t="s">
        <v>336</v>
      </c>
      <c r="Z6" s="59" t="s">
        <v>337</v>
      </c>
      <c r="AA6" s="59" t="s">
        <v>338</v>
      </c>
      <c r="AB6" s="59" t="s">
        <v>339</v>
      </c>
      <c r="AC6" s="59" t="s">
        <v>340</v>
      </c>
      <c r="AD6" s="59" t="s">
        <v>341</v>
      </c>
      <c r="AE6" s="59" t="s">
        <v>342</v>
      </c>
      <c r="AF6" s="59" t="s">
        <v>343</v>
      </c>
      <c r="AG6" s="59" t="s">
        <v>344</v>
      </c>
    </row>
    <row r="7" customFormat="false" ht="15" hidden="false" customHeight="true" outlineLevel="0" collapsed="false">
      <c r="B7" s="36" t="s">
        <v>345</v>
      </c>
      <c r="D7" s="60" t="n">
        <v>1</v>
      </c>
      <c r="E7" s="60" t="n">
        <v>2</v>
      </c>
      <c r="F7" s="60" t="n">
        <v>3</v>
      </c>
      <c r="G7" s="60" t="n">
        <v>4</v>
      </c>
      <c r="H7" s="60" t="n">
        <v>5</v>
      </c>
      <c r="I7" s="60" t="n">
        <v>6</v>
      </c>
      <c r="J7" s="60" t="n">
        <v>7</v>
      </c>
      <c r="K7" s="60" t="n">
        <v>8</v>
      </c>
      <c r="L7" s="60" t="n">
        <v>9</v>
      </c>
      <c r="M7" s="60" t="n">
        <v>10</v>
      </c>
      <c r="N7" s="60" t="n">
        <v>11</v>
      </c>
      <c r="O7" s="60" t="n">
        <v>12</v>
      </c>
      <c r="P7" s="60" t="n">
        <v>13</v>
      </c>
      <c r="Q7" s="60" t="n">
        <v>14</v>
      </c>
      <c r="R7" s="60" t="n">
        <v>15</v>
      </c>
      <c r="S7" s="60" t="n">
        <v>16</v>
      </c>
      <c r="T7" s="60" t="n">
        <v>17</v>
      </c>
      <c r="U7" s="60" t="n">
        <v>18</v>
      </c>
      <c r="V7" s="60" t="n">
        <v>19</v>
      </c>
      <c r="W7" s="60" t="n">
        <v>20</v>
      </c>
      <c r="X7" s="60" t="n">
        <v>21</v>
      </c>
      <c r="Y7" s="60" t="n">
        <v>22</v>
      </c>
      <c r="Z7" s="60" t="n">
        <v>23</v>
      </c>
      <c r="AA7" s="60" t="n">
        <v>24</v>
      </c>
      <c r="AB7" s="60" t="n">
        <v>25</v>
      </c>
      <c r="AC7" s="60" t="n">
        <v>26</v>
      </c>
      <c r="AD7" s="60" t="n">
        <v>27</v>
      </c>
      <c r="AE7" s="60" t="n">
        <v>28</v>
      </c>
      <c r="AF7" s="60" t="n">
        <v>29</v>
      </c>
      <c r="AG7" s="60" t="n">
        <v>30</v>
      </c>
    </row>
    <row r="9" customFormat="false" ht="21.75" hidden="false" customHeight="true" outlineLevel="0" collapsed="false">
      <c r="B9" s="61" t="s">
        <v>471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  <row r="10" customFormat="false" ht="15" hidden="false" customHeight="true" outlineLevel="0" collapsed="false">
      <c r="B10" s="65" t="s">
        <v>467</v>
      </c>
      <c r="C10" s="63" t="s">
        <v>351</v>
      </c>
      <c r="D10" s="66" t="n">
        <f aca="false">'07_PnL'!D36</f>
        <v>-369.4223967375</v>
      </c>
      <c r="E10" s="66" t="n">
        <f aca="false">'07_PnL'!E36</f>
        <v>-368.3341021101</v>
      </c>
      <c r="F10" s="66" t="n">
        <f aca="false">'07_PnL'!F36</f>
        <v>836.686310233346</v>
      </c>
      <c r="G10" s="66" t="n">
        <f aca="false">'07_PnL'!G36</f>
        <v>866.838217038477</v>
      </c>
      <c r="H10" s="66" t="n">
        <f aca="false">'07_PnL'!H36</f>
        <v>925.359151765596</v>
      </c>
      <c r="I10" s="66" t="n">
        <f aca="false">'07_PnL'!I36</f>
        <v>958.252527613915</v>
      </c>
      <c r="J10" s="66" t="n">
        <f aca="false">'07_PnL'!J36</f>
        <v>992.361365474389</v>
      </c>
      <c r="K10" s="66" t="n">
        <f aca="false">'07_PnL'!K36</f>
        <v>1027.76561626567</v>
      </c>
      <c r="L10" s="66" t="n">
        <f aca="false">'07_PnL'!L36</f>
        <v>1064.55239272862</v>
      </c>
      <c r="M10" s="66" t="n">
        <f aca="false">'07_PnL'!M36</f>
        <v>1102.81667467083</v>
      </c>
      <c r="N10" s="66" t="n">
        <f aca="false">'07_PnL'!N36</f>
        <v>889.860739262321</v>
      </c>
      <c r="O10" s="66" t="n">
        <f aca="false">'07_PnL'!O36</f>
        <v>922.210211122589</v>
      </c>
      <c r="P10" s="66" t="n">
        <f aca="false">'07_PnL'!P36</f>
        <v>955.975327238741</v>
      </c>
      <c r="Q10" s="66" t="n">
        <f aca="false">'07_PnL'!Q36</f>
        <v>991.26125430989</v>
      </c>
      <c r="R10" s="66" t="n">
        <f aca="false">'07_PnL'!R36</f>
        <v>1028.18298934811</v>
      </c>
      <c r="S10" s="66" t="n">
        <f aca="false">'07_PnL'!S36</f>
        <v>1066.86634091419</v>
      </c>
      <c r="T10" s="66" t="n">
        <f aca="false">'07_PnL'!T36</f>
        <v>1107.44901033765</v>
      </c>
      <c r="U10" s="66" t="n">
        <f aca="false">'07_PnL'!U36</f>
        <v>1150.08178320577</v>
      </c>
      <c r="V10" s="66" t="n">
        <f aca="false">'07_PnL'!V36</f>
        <v>1194.92984247082</v>
      </c>
      <c r="W10" s="66" t="n">
        <f aca="false">'07_PnL'!W36</f>
        <v>1225.98105544374</v>
      </c>
      <c r="X10" s="66" t="n">
        <f aca="false">'07_PnL'!X36</f>
        <v>1257.92676794525</v>
      </c>
      <c r="Y10" s="66" t="n">
        <f aca="false">'07_PnL'!Y36</f>
        <v>1284.77122770847</v>
      </c>
      <c r="Z10" s="66" t="n">
        <f aca="false">'07_PnL'!Z36</f>
        <v>1312.13823360091</v>
      </c>
      <c r="AA10" s="66" t="n">
        <f aca="false">'07_PnL'!AA36</f>
        <v>1340.03792647782</v>
      </c>
      <c r="AB10" s="66" t="n">
        <f aca="false">'07_PnL'!AB36</f>
        <v>1368.48064242598</v>
      </c>
      <c r="AC10" s="66" t="n">
        <f aca="false">'07_PnL'!AC36</f>
        <v>1397.47691647569</v>
      </c>
      <c r="AD10" s="66" t="n">
        <f aca="false">'07_PnL'!AD36</f>
        <v>1427.03748638187</v>
      </c>
      <c r="AE10" s="66" t="n">
        <f aca="false">'07_PnL'!AE36</f>
        <v>1457.17329647542</v>
      </c>
      <c r="AF10" s="66" t="n">
        <f aca="false">'07_PnL'!AF36</f>
        <v>1487.89550158617</v>
      </c>
      <c r="AG10" s="66" t="n">
        <f aca="false">'07_PnL'!AG36</f>
        <v>1519.21547103854</v>
      </c>
    </row>
    <row r="11" customFormat="false" ht="15" hidden="false" customHeight="true" outlineLevel="0" collapsed="false">
      <c r="B11" s="65" t="s">
        <v>472</v>
      </c>
      <c r="C11" s="63" t="s">
        <v>351</v>
      </c>
      <c r="D11" s="66" t="n">
        <f aca="false">-'07_PnL'!D20</f>
        <v>151.708575</v>
      </c>
      <c r="E11" s="66" t="n">
        <f aca="false">-'07_PnL'!E20</f>
        <v>151.708575</v>
      </c>
      <c r="F11" s="66" t="n">
        <f aca="false">-'07_PnL'!F20</f>
        <v>151.708575</v>
      </c>
      <c r="G11" s="66" t="n">
        <f aca="false">-'07_PnL'!G20</f>
        <v>151.708575</v>
      </c>
      <c r="H11" s="66" t="n">
        <f aca="false">-'07_PnL'!H20</f>
        <v>151.708575</v>
      </c>
      <c r="I11" s="66" t="n">
        <f aca="false">-'07_PnL'!I20</f>
        <v>151.708575</v>
      </c>
      <c r="J11" s="66" t="n">
        <f aca="false">-'07_PnL'!J20</f>
        <v>151.708575</v>
      </c>
      <c r="K11" s="66" t="n">
        <f aca="false">-'07_PnL'!K20</f>
        <v>151.708575</v>
      </c>
      <c r="L11" s="66" t="n">
        <f aca="false">-'07_PnL'!L20</f>
        <v>151.708575</v>
      </c>
      <c r="M11" s="66" t="n">
        <f aca="false">-'07_PnL'!M20</f>
        <v>151.708575</v>
      </c>
      <c r="N11" s="66" t="n">
        <f aca="false">-'07_PnL'!N20</f>
        <v>151.708575</v>
      </c>
      <c r="O11" s="66" t="n">
        <f aca="false">-'07_PnL'!O20</f>
        <v>151.708575</v>
      </c>
      <c r="P11" s="66" t="n">
        <f aca="false">-'07_PnL'!P20</f>
        <v>151.708575</v>
      </c>
      <c r="Q11" s="66" t="n">
        <f aca="false">-'07_PnL'!Q20</f>
        <v>151.708575</v>
      </c>
      <c r="R11" s="66" t="n">
        <f aca="false">-'07_PnL'!R20</f>
        <v>151.708575</v>
      </c>
      <c r="S11" s="66" t="n">
        <f aca="false">-'07_PnL'!S20</f>
        <v>151.708575</v>
      </c>
      <c r="T11" s="66" t="n">
        <f aca="false">-'07_PnL'!T20</f>
        <v>151.708575</v>
      </c>
      <c r="U11" s="66" t="n">
        <f aca="false">-'07_PnL'!U20</f>
        <v>151.708575</v>
      </c>
      <c r="V11" s="66" t="n">
        <f aca="false">-'07_PnL'!V20</f>
        <v>151.708575</v>
      </c>
      <c r="W11" s="66" t="n">
        <f aca="false">-'07_PnL'!W20</f>
        <v>151.708575</v>
      </c>
      <c r="X11" s="66" t="n">
        <f aca="false">-'07_PnL'!X20</f>
        <v>151.708575</v>
      </c>
      <c r="Y11" s="66" t="n">
        <f aca="false">-'07_PnL'!Y20</f>
        <v>151.708575</v>
      </c>
      <c r="Z11" s="66" t="n">
        <f aca="false">-'07_PnL'!Z20</f>
        <v>151.708575</v>
      </c>
      <c r="AA11" s="66" t="n">
        <f aca="false">-'07_PnL'!AA20</f>
        <v>151.708575</v>
      </c>
      <c r="AB11" s="66" t="n">
        <f aca="false">-'07_PnL'!AB20</f>
        <v>151.708575</v>
      </c>
      <c r="AC11" s="66" t="n">
        <f aca="false">-'07_PnL'!AC20</f>
        <v>151.708575</v>
      </c>
      <c r="AD11" s="66" t="n">
        <f aca="false">-'07_PnL'!AD20</f>
        <v>151.708575</v>
      </c>
      <c r="AE11" s="66" t="n">
        <f aca="false">-'07_PnL'!AE20</f>
        <v>151.708575</v>
      </c>
      <c r="AF11" s="66" t="n">
        <f aca="false">-'07_PnL'!AF20</f>
        <v>151.708575</v>
      </c>
      <c r="AG11" s="66" t="n">
        <f aca="false">-'07_PnL'!AG20</f>
        <v>151.708575</v>
      </c>
    </row>
    <row r="12" customFormat="false" ht="15" hidden="false" customHeight="true" outlineLevel="0" collapsed="false">
      <c r="B12" s="95" t="s">
        <v>473</v>
      </c>
      <c r="C12" s="96" t="s">
        <v>351</v>
      </c>
      <c r="D12" s="97" t="n">
        <f aca="false">D10+D11</f>
        <v>-217.7138217375</v>
      </c>
      <c r="E12" s="97" t="n">
        <f aca="false">E10+E11</f>
        <v>-216.6255271101</v>
      </c>
      <c r="F12" s="97" t="n">
        <f aca="false">F10+F11</f>
        <v>988.394885233346</v>
      </c>
      <c r="G12" s="97" t="n">
        <f aca="false">G10+G11</f>
        <v>1018.54679203848</v>
      </c>
      <c r="H12" s="97" t="n">
        <f aca="false">H10+H11</f>
        <v>1077.0677267656</v>
      </c>
      <c r="I12" s="97" t="n">
        <f aca="false">I10+I11</f>
        <v>1109.96110261391</v>
      </c>
      <c r="J12" s="97" t="n">
        <f aca="false">J10+J11</f>
        <v>1144.06994047439</v>
      </c>
      <c r="K12" s="97" t="n">
        <f aca="false">K10+K11</f>
        <v>1179.47419126567</v>
      </c>
      <c r="L12" s="97" t="n">
        <f aca="false">L10+L11</f>
        <v>1216.26096772862</v>
      </c>
      <c r="M12" s="97" t="n">
        <f aca="false">M10+M11</f>
        <v>1254.52524967083</v>
      </c>
      <c r="N12" s="97" t="n">
        <f aca="false">N10+N11</f>
        <v>1041.56931426232</v>
      </c>
      <c r="O12" s="97" t="n">
        <f aca="false">O10+O11</f>
        <v>1073.91878612259</v>
      </c>
      <c r="P12" s="97" t="n">
        <f aca="false">P10+P11</f>
        <v>1107.68390223874</v>
      </c>
      <c r="Q12" s="97" t="n">
        <f aca="false">Q10+Q11</f>
        <v>1142.96982930989</v>
      </c>
      <c r="R12" s="97" t="n">
        <f aca="false">R10+R11</f>
        <v>1179.89156434811</v>
      </c>
      <c r="S12" s="97" t="n">
        <f aca="false">S10+S11</f>
        <v>1218.57491591419</v>
      </c>
      <c r="T12" s="97" t="n">
        <f aca="false">T10+T11</f>
        <v>1259.15758533765</v>
      </c>
      <c r="U12" s="97" t="n">
        <f aca="false">U10+U11</f>
        <v>1301.79035820577</v>
      </c>
      <c r="V12" s="97" t="n">
        <f aca="false">V10+V11</f>
        <v>1346.63841747082</v>
      </c>
      <c r="W12" s="97" t="n">
        <f aca="false">W10+W11</f>
        <v>1377.68963044374</v>
      </c>
      <c r="X12" s="97" t="n">
        <f aca="false">X10+X11</f>
        <v>1409.63534294525</v>
      </c>
      <c r="Y12" s="97" t="n">
        <f aca="false">Y10+Y11</f>
        <v>1436.47980270847</v>
      </c>
      <c r="Z12" s="97" t="n">
        <f aca="false">Z10+Z11</f>
        <v>1463.84680860091</v>
      </c>
      <c r="AA12" s="97" t="n">
        <f aca="false">AA10+AA11</f>
        <v>1491.74650147782</v>
      </c>
      <c r="AB12" s="97" t="n">
        <f aca="false">AB10+AB11</f>
        <v>1520.18921742598</v>
      </c>
      <c r="AC12" s="97" t="n">
        <f aca="false">AC10+AC11</f>
        <v>1549.18549147569</v>
      </c>
      <c r="AD12" s="97" t="n">
        <f aca="false">AD10+AD11</f>
        <v>1578.74606138187</v>
      </c>
      <c r="AE12" s="97" t="n">
        <f aca="false">AE10+AE11</f>
        <v>1608.88187147542</v>
      </c>
      <c r="AF12" s="97" t="n">
        <f aca="false">AF10+AF11</f>
        <v>1639.60407658617</v>
      </c>
      <c r="AG12" s="97" t="n">
        <f aca="false">AG10+AG11</f>
        <v>1670.92404603854</v>
      </c>
    </row>
    <row r="14" customFormat="false" ht="21.75" hidden="false" customHeight="true" outlineLevel="0" collapsed="false">
      <c r="B14" s="61" t="s">
        <v>474</v>
      </c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</row>
    <row r="15" customFormat="false" ht="15" hidden="false" customHeight="true" outlineLevel="0" collapsed="false">
      <c r="B15" s="65" t="s">
        <v>475</v>
      </c>
      <c r="C15" s="63" t="s">
        <v>351</v>
      </c>
      <c r="D15" s="66" t="n">
        <f aca="false">IF(D$7&gt;=3,-'04_CAPEX'!$I$33*0.005,0)</f>
        <v>0</v>
      </c>
      <c r="E15" s="66" t="n">
        <f aca="false">IF(E$7&gt;=3,-'04_CAPEX'!$I$33*0.005,0)</f>
        <v>0</v>
      </c>
      <c r="F15" s="66" t="n">
        <f aca="false">IF(F$7&gt;=3,-'04_CAPEX'!$I$33*0.005,0)</f>
        <v>-22.75628625</v>
      </c>
      <c r="G15" s="66" t="n">
        <f aca="false">IF(G$7&gt;=3,-'04_CAPEX'!$I$33*0.005,0)</f>
        <v>-22.75628625</v>
      </c>
      <c r="H15" s="66" t="n">
        <f aca="false">IF(H$7&gt;=3,-'04_CAPEX'!$I$33*0.005,0)</f>
        <v>-22.75628625</v>
      </c>
      <c r="I15" s="66" t="n">
        <f aca="false">IF(I$7&gt;=3,-'04_CAPEX'!$I$33*0.005,0)</f>
        <v>-22.75628625</v>
      </c>
      <c r="J15" s="66" t="n">
        <f aca="false">IF(J$7&gt;=3,-'04_CAPEX'!$I$33*0.005,0)</f>
        <v>-22.75628625</v>
      </c>
      <c r="K15" s="66" t="n">
        <f aca="false">IF(K$7&gt;=3,-'04_CAPEX'!$I$33*0.005,0)</f>
        <v>-22.75628625</v>
      </c>
      <c r="L15" s="66" t="n">
        <f aca="false">IF(L$7&gt;=3,-'04_CAPEX'!$I$33*0.005,0)</f>
        <v>-22.75628625</v>
      </c>
      <c r="M15" s="66" t="n">
        <f aca="false">IF(M$7&gt;=3,-'04_CAPEX'!$I$33*0.005,0)</f>
        <v>-22.75628625</v>
      </c>
      <c r="N15" s="66" t="n">
        <f aca="false">IF(N$7&gt;=3,-'04_CAPEX'!$I$33*0.005,0)</f>
        <v>-22.75628625</v>
      </c>
      <c r="O15" s="66" t="n">
        <f aca="false">IF(O$7&gt;=3,-'04_CAPEX'!$I$33*0.005,0)</f>
        <v>-22.75628625</v>
      </c>
      <c r="P15" s="66" t="n">
        <f aca="false">IF(P$7&gt;=3,-'04_CAPEX'!$I$33*0.005,0)</f>
        <v>-22.75628625</v>
      </c>
      <c r="Q15" s="66" t="n">
        <f aca="false">IF(Q$7&gt;=3,-'04_CAPEX'!$I$33*0.005,0)</f>
        <v>-22.75628625</v>
      </c>
      <c r="R15" s="66" t="n">
        <f aca="false">IF(R$7&gt;=3,-'04_CAPEX'!$I$33*0.005,0)</f>
        <v>-22.75628625</v>
      </c>
      <c r="S15" s="66" t="n">
        <f aca="false">IF(S$7&gt;=3,-'04_CAPEX'!$I$33*0.005,0)</f>
        <v>-22.75628625</v>
      </c>
      <c r="T15" s="66" t="n">
        <f aca="false">IF(T$7&gt;=3,-'04_CAPEX'!$I$33*0.005,0)</f>
        <v>-22.75628625</v>
      </c>
      <c r="U15" s="66" t="n">
        <f aca="false">IF(U$7&gt;=3,-'04_CAPEX'!$I$33*0.005,0)</f>
        <v>-22.75628625</v>
      </c>
      <c r="V15" s="66" t="n">
        <f aca="false">IF(V$7&gt;=3,-'04_CAPEX'!$I$33*0.005,0)</f>
        <v>-22.75628625</v>
      </c>
      <c r="W15" s="66" t="n">
        <f aca="false">IF(W$7&gt;=3,-'04_CAPEX'!$I$33*0.005,0)</f>
        <v>-22.75628625</v>
      </c>
      <c r="X15" s="66" t="n">
        <f aca="false">IF(X$7&gt;=3,-'04_CAPEX'!$I$33*0.005,0)</f>
        <v>-22.75628625</v>
      </c>
      <c r="Y15" s="66" t="n">
        <f aca="false">IF(Y$7&gt;=3,-'04_CAPEX'!$I$33*0.005,0)</f>
        <v>-22.75628625</v>
      </c>
      <c r="Z15" s="66" t="n">
        <f aca="false">IF(Z$7&gt;=3,-'04_CAPEX'!$I$33*0.005,0)</f>
        <v>-22.75628625</v>
      </c>
      <c r="AA15" s="66" t="n">
        <f aca="false">IF(AA$7&gt;=3,-'04_CAPEX'!$I$33*0.005,0)</f>
        <v>-22.75628625</v>
      </c>
      <c r="AB15" s="66" t="n">
        <f aca="false">IF(AB$7&gt;=3,-'04_CAPEX'!$I$33*0.005,0)</f>
        <v>-22.75628625</v>
      </c>
      <c r="AC15" s="66" t="n">
        <f aca="false">IF(AC$7&gt;=3,-'04_CAPEX'!$I$33*0.005,0)</f>
        <v>-22.75628625</v>
      </c>
      <c r="AD15" s="66" t="n">
        <f aca="false">IF(AD$7&gt;=3,-'04_CAPEX'!$I$33*0.005,0)</f>
        <v>-22.75628625</v>
      </c>
      <c r="AE15" s="66" t="n">
        <f aca="false">IF(AE$7&gt;=3,-'04_CAPEX'!$I$33*0.005,0)</f>
        <v>-22.75628625</v>
      </c>
      <c r="AF15" s="66" t="n">
        <f aca="false">IF(AF$7&gt;=3,-'04_CAPEX'!$I$33*0.005,0)</f>
        <v>-22.75628625</v>
      </c>
      <c r="AG15" s="66" t="n">
        <f aca="false">IF(AG$7&gt;=3,-'04_CAPEX'!$I$33*0.005,0)</f>
        <v>-22.75628625</v>
      </c>
    </row>
    <row r="16" customFormat="false" ht="15" hidden="false" customHeight="true" outlineLevel="0" collapsed="false">
      <c r="B16" s="65" t="s">
        <v>476</v>
      </c>
      <c r="C16" s="63" t="s">
        <v>351</v>
      </c>
      <c r="D16" s="66" t="n">
        <f aca="false">IF(OR(D$7=15,D$7=16),-'04_CAPEX'!$I$14*0.5,0)</f>
        <v>0</v>
      </c>
      <c r="E16" s="66" t="n">
        <f aca="false">IF(OR(E$7=15,E$7=16),-'04_CAPEX'!$I$14*0.5,0)</f>
        <v>0</v>
      </c>
      <c r="F16" s="66" t="n">
        <f aca="false">IF(OR(F$7=15,F$7=16),-'04_CAPEX'!$I$14*0.5,0)</f>
        <v>0</v>
      </c>
      <c r="G16" s="66" t="n">
        <f aca="false">IF(OR(G$7=15,G$7=16),-'04_CAPEX'!$I$14*0.5,0)</f>
        <v>0</v>
      </c>
      <c r="H16" s="66" t="n">
        <f aca="false">IF(OR(H$7=15,H$7=16),-'04_CAPEX'!$I$14*0.5,0)</f>
        <v>0</v>
      </c>
      <c r="I16" s="66" t="n">
        <f aca="false">IF(OR(I$7=15,I$7=16),-'04_CAPEX'!$I$14*0.5,0)</f>
        <v>0</v>
      </c>
      <c r="J16" s="66" t="n">
        <f aca="false">IF(OR(J$7=15,J$7=16),-'04_CAPEX'!$I$14*0.5,0)</f>
        <v>0</v>
      </c>
      <c r="K16" s="66" t="n">
        <f aca="false">IF(OR(K$7=15,K$7=16),-'04_CAPEX'!$I$14*0.5,0)</f>
        <v>0</v>
      </c>
      <c r="L16" s="66" t="n">
        <f aca="false">IF(OR(L$7=15,L$7=16),-'04_CAPEX'!$I$14*0.5,0)</f>
        <v>0</v>
      </c>
      <c r="M16" s="66" t="n">
        <f aca="false">IF(OR(M$7=15,M$7=16),-'04_CAPEX'!$I$14*0.5,0)</f>
        <v>0</v>
      </c>
      <c r="N16" s="66" t="n">
        <f aca="false">IF(OR(N$7=15,N$7=16),-'04_CAPEX'!$I$14*0.5,0)</f>
        <v>0</v>
      </c>
      <c r="O16" s="66" t="n">
        <f aca="false">IF(OR(O$7=15,O$7=16),-'04_CAPEX'!$I$14*0.5,0)</f>
        <v>0</v>
      </c>
      <c r="P16" s="66" t="n">
        <f aca="false">IF(OR(P$7=15,P$7=16),-'04_CAPEX'!$I$14*0.5,0)</f>
        <v>0</v>
      </c>
      <c r="Q16" s="66" t="n">
        <f aca="false">IF(OR(Q$7=15,Q$7=16),-'04_CAPEX'!$I$14*0.5,0)</f>
        <v>0</v>
      </c>
      <c r="R16" s="66" t="n">
        <f aca="false">IF(OR(R$7=15,R$7=16),-'04_CAPEX'!$I$14*0.5,0)</f>
        <v>-138</v>
      </c>
      <c r="S16" s="66" t="n">
        <f aca="false">IF(OR(S$7=15,S$7=16),-'04_CAPEX'!$I$14*0.5,0)</f>
        <v>-138</v>
      </c>
      <c r="T16" s="66" t="n">
        <f aca="false">IF(OR(T$7=15,T$7=16),-'04_CAPEX'!$I$14*0.5,0)</f>
        <v>0</v>
      </c>
      <c r="U16" s="66" t="n">
        <f aca="false">IF(OR(U$7=15,U$7=16),-'04_CAPEX'!$I$14*0.5,0)</f>
        <v>0</v>
      </c>
      <c r="V16" s="66" t="n">
        <f aca="false">IF(OR(V$7=15,V$7=16),-'04_CAPEX'!$I$14*0.5,0)</f>
        <v>0</v>
      </c>
      <c r="W16" s="66" t="n">
        <f aca="false">IF(OR(W$7=15,W$7=16),-'04_CAPEX'!$I$14*0.5,0)</f>
        <v>0</v>
      </c>
      <c r="X16" s="66" t="n">
        <f aca="false">IF(OR(X$7=15,X$7=16),-'04_CAPEX'!$I$14*0.5,0)</f>
        <v>0</v>
      </c>
      <c r="Y16" s="66" t="n">
        <f aca="false">IF(OR(Y$7=15,Y$7=16),-'04_CAPEX'!$I$14*0.5,0)</f>
        <v>0</v>
      </c>
      <c r="Z16" s="66" t="n">
        <f aca="false">IF(OR(Z$7=15,Z$7=16),-'04_CAPEX'!$I$14*0.5,0)</f>
        <v>0</v>
      </c>
      <c r="AA16" s="66" t="n">
        <f aca="false">IF(OR(AA$7=15,AA$7=16),-'04_CAPEX'!$I$14*0.5,0)</f>
        <v>0</v>
      </c>
      <c r="AB16" s="66" t="n">
        <f aca="false">IF(OR(AB$7=15,AB$7=16),-'04_CAPEX'!$I$14*0.5,0)</f>
        <v>0</v>
      </c>
      <c r="AC16" s="66" t="n">
        <f aca="false">IF(OR(AC$7=15,AC$7=16),-'04_CAPEX'!$I$14*0.5,0)</f>
        <v>0</v>
      </c>
      <c r="AD16" s="66" t="n">
        <f aca="false">IF(OR(AD$7=15,AD$7=16),-'04_CAPEX'!$I$14*0.5,0)</f>
        <v>0</v>
      </c>
      <c r="AE16" s="66" t="n">
        <f aca="false">IF(OR(AE$7=15,AE$7=16),-'04_CAPEX'!$I$14*0.5,0)</f>
        <v>0</v>
      </c>
      <c r="AF16" s="66" t="n">
        <f aca="false">IF(OR(AF$7=15,AF$7=16),-'04_CAPEX'!$I$14*0.5,0)</f>
        <v>0</v>
      </c>
      <c r="AG16" s="66" t="n">
        <f aca="false">IF(OR(AG$7=15,AG$7=16),-'04_CAPEX'!$I$14*0.5,0)</f>
        <v>0</v>
      </c>
    </row>
    <row r="17" customFormat="false" ht="15" hidden="false" customHeight="true" outlineLevel="0" collapsed="false">
      <c r="B17" s="95" t="s">
        <v>477</v>
      </c>
      <c r="C17" s="96" t="s">
        <v>351</v>
      </c>
      <c r="D17" s="97" t="n">
        <f aca="false">D15+D16</f>
        <v>0</v>
      </c>
      <c r="E17" s="97" t="n">
        <f aca="false">E15+E16</f>
        <v>0</v>
      </c>
      <c r="F17" s="97" t="n">
        <f aca="false">F15+F16</f>
        <v>-22.75628625</v>
      </c>
      <c r="G17" s="97" t="n">
        <f aca="false">G15+G16</f>
        <v>-22.75628625</v>
      </c>
      <c r="H17" s="97" t="n">
        <f aca="false">H15+H16</f>
        <v>-22.75628625</v>
      </c>
      <c r="I17" s="97" t="n">
        <f aca="false">I15+I16</f>
        <v>-22.75628625</v>
      </c>
      <c r="J17" s="97" t="n">
        <f aca="false">J15+J16</f>
        <v>-22.75628625</v>
      </c>
      <c r="K17" s="97" t="n">
        <f aca="false">K15+K16</f>
        <v>-22.75628625</v>
      </c>
      <c r="L17" s="97" t="n">
        <f aca="false">L15+L16</f>
        <v>-22.75628625</v>
      </c>
      <c r="M17" s="97" t="n">
        <f aca="false">M15+M16</f>
        <v>-22.75628625</v>
      </c>
      <c r="N17" s="97" t="n">
        <f aca="false">N15+N16</f>
        <v>-22.75628625</v>
      </c>
      <c r="O17" s="97" t="n">
        <f aca="false">O15+O16</f>
        <v>-22.75628625</v>
      </c>
      <c r="P17" s="97" t="n">
        <f aca="false">P15+P16</f>
        <v>-22.75628625</v>
      </c>
      <c r="Q17" s="97" t="n">
        <f aca="false">Q15+Q16</f>
        <v>-22.75628625</v>
      </c>
      <c r="R17" s="97" t="n">
        <f aca="false">R15+R16</f>
        <v>-160.75628625</v>
      </c>
      <c r="S17" s="97" t="n">
        <f aca="false">S15+S16</f>
        <v>-160.75628625</v>
      </c>
      <c r="T17" s="97" t="n">
        <f aca="false">T15+T16</f>
        <v>-22.75628625</v>
      </c>
      <c r="U17" s="97" t="n">
        <f aca="false">U15+U16</f>
        <v>-22.75628625</v>
      </c>
      <c r="V17" s="97" t="n">
        <f aca="false">V15+V16</f>
        <v>-22.75628625</v>
      </c>
      <c r="W17" s="97" t="n">
        <f aca="false">W15+W16</f>
        <v>-22.75628625</v>
      </c>
      <c r="X17" s="97" t="n">
        <f aca="false">X15+X16</f>
        <v>-22.75628625</v>
      </c>
      <c r="Y17" s="97" t="n">
        <f aca="false">Y15+Y16</f>
        <v>-22.75628625</v>
      </c>
      <c r="Z17" s="97" t="n">
        <f aca="false">Z15+Z16</f>
        <v>-22.75628625</v>
      </c>
      <c r="AA17" s="97" t="n">
        <f aca="false">AA15+AA16</f>
        <v>-22.75628625</v>
      </c>
      <c r="AB17" s="97" t="n">
        <f aca="false">AB15+AB16</f>
        <v>-22.75628625</v>
      </c>
      <c r="AC17" s="97" t="n">
        <f aca="false">AC15+AC16</f>
        <v>-22.75628625</v>
      </c>
      <c r="AD17" s="97" t="n">
        <f aca="false">AD15+AD16</f>
        <v>-22.75628625</v>
      </c>
      <c r="AE17" s="97" t="n">
        <f aca="false">AE15+AE16</f>
        <v>-22.75628625</v>
      </c>
      <c r="AF17" s="97" t="n">
        <f aca="false">AF15+AF16</f>
        <v>-22.75628625</v>
      </c>
      <c r="AG17" s="97" t="n">
        <f aca="false">AG15+AG16</f>
        <v>-22.75628625</v>
      </c>
    </row>
    <row r="19" customFormat="false" ht="21.75" hidden="false" customHeight="true" outlineLevel="0" collapsed="false">
      <c r="B19" s="61" t="s">
        <v>478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</row>
    <row r="20" customFormat="false" ht="15" hidden="false" customHeight="true" outlineLevel="0" collapsed="false">
      <c r="B20" s="65" t="s">
        <v>479</v>
      </c>
      <c r="C20" s="63" t="s">
        <v>351</v>
      </c>
      <c r="D20" s="66" t="n">
        <f aca="false">-'06_Debt'!D33</f>
        <v>-0</v>
      </c>
      <c r="E20" s="66" t="n">
        <f aca="false">-'06_Debt'!E33</f>
        <v>-0</v>
      </c>
      <c r="F20" s="66" t="n">
        <f aca="false">-'06_Debt'!F33</f>
        <v>-80.4609711381487</v>
      </c>
      <c r="G20" s="66" t="n">
        <f aca="false">-'06_Debt'!G33</f>
        <v>-87.9143505264828</v>
      </c>
      <c r="H20" s="66" t="n">
        <f aca="false">-'06_Debt'!H33</f>
        <v>-96.0757080570041</v>
      </c>
      <c r="I20" s="66" t="n">
        <f aca="false">-'06_Debt'!I33</f>
        <v>-105.013784432623</v>
      </c>
      <c r="J20" s="66" t="n">
        <f aca="false">-'06_Debt'!J33</f>
        <v>-114.804118354905</v>
      </c>
      <c r="K20" s="66" t="n">
        <f aca="false">-'06_Debt'!K33</f>
        <v>-125.52972883079</v>
      </c>
      <c r="L20" s="66" t="n">
        <f aca="false">-'06_Debt'!L33</f>
        <v>-137.28186676029</v>
      </c>
      <c r="M20" s="66" t="n">
        <f aca="false">-'06_Debt'!M33</f>
        <v>-150.160842902558</v>
      </c>
      <c r="N20" s="66" t="n">
        <f aca="false">-'06_Debt'!N33</f>
        <v>-164.276940049696</v>
      </c>
      <c r="O20" s="66" t="n">
        <f aca="false">-'06_Debt'!O33</f>
        <v>-179.751418045462</v>
      </c>
      <c r="P20" s="66" t="n">
        <f aca="false">-'06_Debt'!P33</f>
        <v>-196.717621177574</v>
      </c>
      <c r="Q20" s="66" t="n">
        <f aca="false">-'06_Debt'!Q33</f>
        <v>-215.322198456358</v>
      </c>
      <c r="R20" s="66" t="n">
        <f aca="false">-'06_Debt'!R33</f>
        <v>-235.72644837855</v>
      </c>
      <c r="S20" s="66" t="n">
        <f aca="false">-'06_Debt'!S33</f>
        <v>-258.107800973892</v>
      </c>
      <c r="T20" s="66" t="n">
        <f aca="false">-'06_Debt'!T33</f>
        <v>-282.661451255416</v>
      </c>
      <c r="U20" s="66" t="n">
        <f aca="false">-'06_Debt'!U33</f>
        <v>-309.602159654944</v>
      </c>
      <c r="V20" s="66" t="n">
        <f aca="false">-'06_Debt'!V33</f>
        <v>-105.498700484485</v>
      </c>
      <c r="W20" s="66" t="n">
        <f aca="false">-'06_Debt'!W33</f>
        <v>-113.411103020822</v>
      </c>
      <c r="X20" s="66" t="n">
        <f aca="false">-'06_Debt'!X33</f>
        <v>-0</v>
      </c>
      <c r="Y20" s="66" t="n">
        <f aca="false">-'06_Debt'!Y33</f>
        <v>-0</v>
      </c>
      <c r="Z20" s="66" t="n">
        <f aca="false">-'06_Debt'!Z33</f>
        <v>-0</v>
      </c>
      <c r="AA20" s="66" t="n">
        <f aca="false">-'06_Debt'!AA33</f>
        <v>-0</v>
      </c>
      <c r="AB20" s="66" t="n">
        <f aca="false">-'06_Debt'!AB33</f>
        <v>-0</v>
      </c>
      <c r="AC20" s="66" t="n">
        <f aca="false">-'06_Debt'!AC33</f>
        <v>-0</v>
      </c>
      <c r="AD20" s="66" t="n">
        <f aca="false">-'06_Debt'!AD33</f>
        <v>-0</v>
      </c>
      <c r="AE20" s="66" t="n">
        <f aca="false">-'06_Debt'!AE33</f>
        <v>-0</v>
      </c>
      <c r="AF20" s="66" t="n">
        <f aca="false">-'06_Debt'!AF33</f>
        <v>-0</v>
      </c>
      <c r="AG20" s="66" t="n">
        <f aca="false">-'06_Debt'!AG33</f>
        <v>-0</v>
      </c>
    </row>
    <row r="21" customFormat="false" ht="15" hidden="false" customHeight="true" outlineLevel="0" collapsed="false">
      <c r="B21" s="65" t="s">
        <v>480</v>
      </c>
      <c r="C21" s="63" t="s">
        <v>351</v>
      </c>
      <c r="D21" s="66" t="n">
        <f aca="false">-MAX(0,(D12+D17+D20)*0.85)</f>
        <v>-0</v>
      </c>
      <c r="E21" s="66" t="n">
        <f aca="false">-MAX(0,(E12+E17+E20)*0.85)</f>
        <v>-0</v>
      </c>
      <c r="F21" s="66" t="n">
        <f aca="false">-MAX(0,(F12+F17+F20)*0.85)</f>
        <v>-752.400983668418</v>
      </c>
      <c r="G21" s="66" t="n">
        <f aca="false">-MAX(0,(G12+G17+G20)*0.85)</f>
        <v>-771.694731972695</v>
      </c>
      <c r="H21" s="66" t="n">
        <f aca="false">-MAX(0,(H12+H17+H20)*0.85)</f>
        <v>-814.500372589803</v>
      </c>
      <c r="I21" s="66" t="n">
        <f aca="false">-MAX(0,(I12+I17+I20)*0.85)</f>
        <v>-834.862377141598</v>
      </c>
      <c r="J21" s="66" t="n">
        <f aca="false">-MAX(0,(J12+J17+J20)*0.85)</f>
        <v>-855.533105489062</v>
      </c>
      <c r="K21" s="66" t="n">
        <f aca="false">-MAX(0,(K12+K17+K20)*0.85)</f>
        <v>-876.509949757146</v>
      </c>
      <c r="L21" s="66" t="n">
        <f aca="false">-MAX(0,(L12+L17+L20)*0.85)</f>
        <v>-897.789392510584</v>
      </c>
      <c r="M21" s="66" t="n">
        <f aca="false">-MAX(0,(M12+M17+M20)*0.85)</f>
        <v>-919.366902440529</v>
      </c>
      <c r="N21" s="66" t="n">
        <f aca="false">-MAX(0,(N12+N17+N20)*0.85)</f>
        <v>-726.355674768232</v>
      </c>
      <c r="O21" s="66" t="n">
        <f aca="false">-MAX(0,(O12+O17+O20)*0.85)</f>
        <v>-740.699419553059</v>
      </c>
      <c r="P21" s="66" t="n">
        <f aca="false">-MAX(0,(P12+P17+P20)*0.85)</f>
        <v>-754.978495589492</v>
      </c>
      <c r="Q21" s="66" t="n">
        <f aca="false">-MAX(0,(Q12+Q17+Q20)*0.85)</f>
        <v>-769.157642913003</v>
      </c>
      <c r="R21" s="66" t="n">
        <f aca="false">-MAX(0,(R12+R17+R20)*0.85)</f>
        <v>-665.897505261624</v>
      </c>
      <c r="S21" s="66" t="n">
        <f aca="false">-MAX(0,(S12+S17+S20)*0.85)</f>
        <v>-679.754204386751</v>
      </c>
      <c r="T21" s="66" t="n">
        <f aca="false">-MAX(0,(T12+T17+T20)*0.85)</f>
        <v>-810.678870657395</v>
      </c>
      <c r="U21" s="66" t="n">
        <f aca="false">-MAX(0,(U12+U17+U20)*0.85)</f>
        <v>-824.017125455703</v>
      </c>
      <c r="V21" s="66" t="n">
        <f aca="false">-MAX(0,(V12+V17+V20)*0.85)</f>
        <v>-1035.62591612589</v>
      </c>
      <c r="W21" s="66" t="n">
        <f aca="false">-MAX(0,(W12+W17+W20)*0.85)</f>
        <v>-1055.29390499698</v>
      </c>
      <c r="X21" s="66" t="n">
        <f aca="false">-MAX(0,(X12+X17+X20)*0.85)</f>
        <v>-1178.84719819096</v>
      </c>
      <c r="Y21" s="66" t="n">
        <f aca="false">-MAX(0,(Y12+Y17+Y20)*0.85)</f>
        <v>-1201.6649889897</v>
      </c>
      <c r="Z21" s="66" t="n">
        <f aca="false">-MAX(0,(Z12+Z17+Z20)*0.85)</f>
        <v>-1224.92694399827</v>
      </c>
      <c r="AA21" s="66" t="n">
        <f aca="false">-MAX(0,(AA12+AA17+AA20)*0.85)</f>
        <v>-1248.64168294365</v>
      </c>
      <c r="AB21" s="66" t="n">
        <f aca="false">-MAX(0,(AB12+AB17+AB20)*0.85)</f>
        <v>-1272.81799149959</v>
      </c>
      <c r="AC21" s="66" t="n">
        <f aca="false">-MAX(0,(AC12+AC17+AC20)*0.85)</f>
        <v>-1297.46482444184</v>
      </c>
      <c r="AD21" s="66" t="n">
        <f aca="false">-MAX(0,(AD12+AD17+AD20)*0.85)</f>
        <v>-1322.59130886209</v>
      </c>
      <c r="AE21" s="66" t="n">
        <f aca="false">-MAX(0,(AE12+AE17+AE20)*0.85)</f>
        <v>-1348.20674744161</v>
      </c>
      <c r="AF21" s="66" t="n">
        <f aca="false">-MAX(0,(AF12+AF17+AF20)*0.85)</f>
        <v>-1374.32062178575</v>
      </c>
      <c r="AG21" s="66" t="n">
        <f aca="false">-MAX(0,(AG12+AG17+AG20)*0.85)</f>
        <v>-1400.94259582026</v>
      </c>
    </row>
    <row r="22" customFormat="false" ht="15" hidden="false" customHeight="true" outlineLevel="0" collapsed="false">
      <c r="B22" s="95" t="s">
        <v>481</v>
      </c>
      <c r="C22" s="96" t="s">
        <v>351</v>
      </c>
      <c r="D22" s="97" t="n">
        <f aca="false">D20+D21</f>
        <v>-0</v>
      </c>
      <c r="E22" s="97" t="n">
        <f aca="false">E20+E21</f>
        <v>-0</v>
      </c>
      <c r="F22" s="97" t="n">
        <f aca="false">F20+F21</f>
        <v>-832.861954806567</v>
      </c>
      <c r="G22" s="97" t="n">
        <f aca="false">G20+G21</f>
        <v>-859.609082499178</v>
      </c>
      <c r="H22" s="97" t="n">
        <f aca="false">H20+H21</f>
        <v>-910.576080646807</v>
      </c>
      <c r="I22" s="97" t="n">
        <f aca="false">I20+I21</f>
        <v>-939.876161574221</v>
      </c>
      <c r="J22" s="97" t="n">
        <f aca="false">J20+J21</f>
        <v>-970.337223843967</v>
      </c>
      <c r="K22" s="97" t="n">
        <f aca="false">K20+K21</f>
        <v>-1002.03967858794</v>
      </c>
      <c r="L22" s="97" t="n">
        <f aca="false">L20+L21</f>
        <v>-1035.07125927087</v>
      </c>
      <c r="M22" s="97" t="n">
        <f aca="false">M20+M21</f>
        <v>-1069.52774534309</v>
      </c>
      <c r="N22" s="97" t="n">
        <f aca="false">N20+N21</f>
        <v>-890.632614817928</v>
      </c>
      <c r="O22" s="97" t="n">
        <f aca="false">O20+O21</f>
        <v>-920.45083759852</v>
      </c>
      <c r="P22" s="97" t="n">
        <f aca="false">P20+P21</f>
        <v>-951.696116767066</v>
      </c>
      <c r="Q22" s="97" t="n">
        <f aca="false">Q20+Q21</f>
        <v>-984.479841369361</v>
      </c>
      <c r="R22" s="97" t="n">
        <f aca="false">R20+R21</f>
        <v>-901.623953640174</v>
      </c>
      <c r="S22" s="97" t="n">
        <f aca="false">S20+S21</f>
        <v>-937.862005360644</v>
      </c>
      <c r="T22" s="97" t="n">
        <f aca="false">T20+T21</f>
        <v>-1093.34032191281</v>
      </c>
      <c r="U22" s="97" t="n">
        <f aca="false">U20+U21</f>
        <v>-1133.61928511065</v>
      </c>
      <c r="V22" s="97" t="n">
        <f aca="false">V20+V21</f>
        <v>-1141.12461661037</v>
      </c>
      <c r="W22" s="97" t="n">
        <f aca="false">W20+W21</f>
        <v>-1168.7050080178</v>
      </c>
      <c r="X22" s="97" t="n">
        <f aca="false">X20+X21</f>
        <v>-1178.84719819096</v>
      </c>
      <c r="Y22" s="97" t="n">
        <f aca="false">Y20+Y21</f>
        <v>-1201.6649889897</v>
      </c>
      <c r="Z22" s="97" t="n">
        <f aca="false">Z20+Z21</f>
        <v>-1224.92694399827</v>
      </c>
      <c r="AA22" s="97" t="n">
        <f aca="false">AA20+AA21</f>
        <v>-1248.64168294365</v>
      </c>
      <c r="AB22" s="97" t="n">
        <f aca="false">AB20+AB21</f>
        <v>-1272.81799149959</v>
      </c>
      <c r="AC22" s="97" t="n">
        <f aca="false">AC20+AC21</f>
        <v>-1297.46482444184</v>
      </c>
      <c r="AD22" s="97" t="n">
        <f aca="false">AD20+AD21</f>
        <v>-1322.59130886209</v>
      </c>
      <c r="AE22" s="97" t="n">
        <f aca="false">AE20+AE21</f>
        <v>-1348.20674744161</v>
      </c>
      <c r="AF22" s="97" t="n">
        <f aca="false">AF20+AF21</f>
        <v>-1374.32062178575</v>
      </c>
      <c r="AG22" s="97" t="n">
        <f aca="false">AG20+AG21</f>
        <v>-1400.94259582026</v>
      </c>
    </row>
    <row r="24" customFormat="false" ht="21.75" hidden="false" customHeight="true" outlineLevel="0" collapsed="false">
      <c r="B24" s="61" t="s">
        <v>482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</row>
    <row r="25" customFormat="false" ht="15" hidden="false" customHeight="true" outlineLevel="0" collapsed="false">
      <c r="B25" s="98" t="s">
        <v>483</v>
      </c>
      <c r="C25" s="99" t="s">
        <v>351</v>
      </c>
      <c r="D25" s="100" t="n">
        <f aca="false">D12+D17+D22</f>
        <v>-217.7138217375</v>
      </c>
      <c r="E25" s="100" t="n">
        <f aca="false">E12+E17+E22</f>
        <v>-216.6255271101</v>
      </c>
      <c r="F25" s="100" t="n">
        <f aca="false">F12+F17+F22</f>
        <v>132.77664417678</v>
      </c>
      <c r="G25" s="100" t="n">
        <f aca="false">G12+G17+G22</f>
        <v>136.181423289299</v>
      </c>
      <c r="H25" s="100" t="n">
        <f aca="false">H12+H17+H22</f>
        <v>143.735359868789</v>
      </c>
      <c r="I25" s="100" t="n">
        <f aca="false">I12+I17+I22</f>
        <v>147.328654789694</v>
      </c>
      <c r="J25" s="100" t="n">
        <f aca="false">J12+J17+J22</f>
        <v>150.976430380423</v>
      </c>
      <c r="K25" s="100" t="n">
        <f aca="false">K12+K17+K22</f>
        <v>154.678226427732</v>
      </c>
      <c r="L25" s="100" t="n">
        <f aca="false">L12+L17+L22</f>
        <v>158.43342220775</v>
      </c>
      <c r="M25" s="100" t="n">
        <f aca="false">M12+M17+M22</f>
        <v>162.241218077741</v>
      </c>
      <c r="N25" s="100" t="n">
        <f aca="false">N12+N17+N22</f>
        <v>128.180413194394</v>
      </c>
      <c r="O25" s="100" t="n">
        <f aca="false">O12+O17+O22</f>
        <v>130.711662274069</v>
      </c>
      <c r="P25" s="100" t="n">
        <f aca="false">P12+P17+P22</f>
        <v>133.231499221675</v>
      </c>
      <c r="Q25" s="100" t="n">
        <f aca="false">Q12+Q17+Q22</f>
        <v>135.73370169053</v>
      </c>
      <c r="R25" s="100" t="n">
        <f aca="false">R12+R17+R22</f>
        <v>117.511324457934</v>
      </c>
      <c r="S25" s="100" t="n">
        <f aca="false">S12+S17+S22</f>
        <v>119.956624303544</v>
      </c>
      <c r="T25" s="100" t="n">
        <f aca="false">T12+T17+T22</f>
        <v>143.060977174834</v>
      </c>
      <c r="U25" s="100" t="n">
        <f aca="false">U12+U17+U22</f>
        <v>145.414786845124</v>
      </c>
      <c r="V25" s="100" t="n">
        <f aca="false">V12+V17+V22</f>
        <v>182.757514610451</v>
      </c>
      <c r="W25" s="100" t="n">
        <f aca="false">W12+W17+W22</f>
        <v>186.228336175938</v>
      </c>
      <c r="X25" s="100" t="n">
        <f aca="false">X12+X17+X22</f>
        <v>208.031858504287</v>
      </c>
      <c r="Y25" s="100" t="n">
        <f aca="false">Y12+Y17+Y22</f>
        <v>212.058527468771</v>
      </c>
      <c r="Z25" s="100" t="n">
        <f aca="false">Z12+Z17+Z22</f>
        <v>216.163578352636</v>
      </c>
      <c r="AA25" s="100" t="n">
        <f aca="false">AA12+AA17+AA22</f>
        <v>220.348532284173</v>
      </c>
      <c r="AB25" s="100" t="n">
        <f aca="false">AB12+AB17+AB22</f>
        <v>224.614939676397</v>
      </c>
      <c r="AC25" s="100" t="n">
        <f aca="false">AC12+AC17+AC22</f>
        <v>228.964380783854</v>
      </c>
      <c r="AD25" s="100" t="n">
        <f aca="false">AD12+AD17+AD22</f>
        <v>233.39846626978</v>
      </c>
      <c r="AE25" s="100" t="n">
        <f aca="false">AE12+AE17+AE22</f>
        <v>237.918837783814</v>
      </c>
      <c r="AF25" s="100" t="n">
        <f aca="false">AF12+AF17+AF22</f>
        <v>242.527168550426</v>
      </c>
      <c r="AG25" s="100" t="n">
        <f aca="false">AG12+AG17+AG22</f>
        <v>247.225163968281</v>
      </c>
    </row>
    <row r="26" customFormat="false" ht="15" hidden="false" customHeight="true" outlineLevel="0" collapsed="false">
      <c r="B26" s="65" t="s">
        <v>484</v>
      </c>
      <c r="C26" s="63" t="s">
        <v>351</v>
      </c>
      <c r="D26" s="66" t="n">
        <f aca="false">$D$25</f>
        <v>-217.7138217375</v>
      </c>
      <c r="E26" s="66" t="n">
        <f aca="false">D26+E25</f>
        <v>-434.3393488476</v>
      </c>
      <c r="F26" s="66" t="n">
        <f aca="false">E26+F25</f>
        <v>-301.56270467082</v>
      </c>
      <c r="G26" s="66" t="n">
        <f aca="false">F26+G25</f>
        <v>-165.381281381521</v>
      </c>
      <c r="H26" s="66" t="n">
        <f aca="false">G26+H25</f>
        <v>-21.6459215127325</v>
      </c>
      <c r="I26" s="66" t="n">
        <f aca="false">H26+I25</f>
        <v>125.682733276961</v>
      </c>
      <c r="J26" s="66" t="n">
        <f aca="false">I26+J25</f>
        <v>276.659163657384</v>
      </c>
      <c r="K26" s="66" t="n">
        <f aca="false">J26+K25</f>
        <v>431.337390085115</v>
      </c>
      <c r="L26" s="66" t="n">
        <f aca="false">K26+L25</f>
        <v>589.770812292866</v>
      </c>
      <c r="M26" s="66" t="n">
        <f aca="false">L26+M25</f>
        <v>752.012030370606</v>
      </c>
      <c r="N26" s="66" t="n">
        <f aca="false">M26+N25</f>
        <v>880.192443565</v>
      </c>
      <c r="O26" s="66" t="n">
        <f aca="false">N26+O25</f>
        <v>1010.90410583907</v>
      </c>
      <c r="P26" s="66" t="n">
        <f aca="false">O26+P25</f>
        <v>1144.13560506074</v>
      </c>
      <c r="Q26" s="66" t="n">
        <f aca="false">P26+Q25</f>
        <v>1279.86930675127</v>
      </c>
      <c r="R26" s="66" t="n">
        <f aca="false">Q26+R25</f>
        <v>1397.38063120921</v>
      </c>
      <c r="S26" s="66" t="n">
        <f aca="false">R26+S25</f>
        <v>1517.33725551275</v>
      </c>
      <c r="T26" s="66" t="n">
        <f aca="false">S26+T25</f>
        <v>1660.39823268759</v>
      </c>
      <c r="U26" s="66" t="n">
        <f aca="false">T26+U25</f>
        <v>1805.81301953271</v>
      </c>
      <c r="V26" s="66" t="n">
        <f aca="false">U26+V25</f>
        <v>1988.57053414316</v>
      </c>
      <c r="W26" s="66" t="n">
        <f aca="false">V26+W25</f>
        <v>2174.7988703191</v>
      </c>
      <c r="X26" s="66" t="n">
        <f aca="false">W26+X25</f>
        <v>2382.83072882339</v>
      </c>
      <c r="Y26" s="66" t="n">
        <f aca="false">X26+Y25</f>
        <v>2594.88925629216</v>
      </c>
      <c r="Z26" s="66" t="n">
        <f aca="false">Y26+Z25</f>
        <v>2811.05283464479</v>
      </c>
      <c r="AA26" s="66" t="n">
        <f aca="false">Z26+AA25</f>
        <v>3031.40136692897</v>
      </c>
      <c r="AB26" s="66" t="n">
        <f aca="false">AA26+AB25</f>
        <v>3256.01630660536</v>
      </c>
      <c r="AC26" s="66" t="n">
        <f aca="false">AB26+AC25</f>
        <v>3484.98068738922</v>
      </c>
      <c r="AD26" s="66" t="n">
        <f aca="false">AC26+AD25</f>
        <v>3718.379153659</v>
      </c>
      <c r="AE26" s="66" t="n">
        <f aca="false">AD26+AE25</f>
        <v>3956.29799144281</v>
      </c>
      <c r="AF26" s="66" t="n">
        <f aca="false">AE26+AF25</f>
        <v>4198.82515999324</v>
      </c>
      <c r="AG26" s="66" t="n">
        <f aca="false">AF26+AG25</f>
        <v>4446.05032396152</v>
      </c>
    </row>
    <row r="28" customFormat="false" ht="21.75" hidden="false" customHeight="true" outlineLevel="0" collapsed="false">
      <c r="B28" s="61" t="s">
        <v>485</v>
      </c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  <c r="AA28" s="2"/>
      <c r="AB28" s="2"/>
      <c r="AC28" s="2"/>
      <c r="AD28" s="2"/>
      <c r="AE28" s="2"/>
      <c r="AF28" s="2"/>
      <c r="AG28" s="2"/>
    </row>
    <row r="29" customFormat="false" ht="15" hidden="false" customHeight="true" outlineLevel="0" collapsed="false">
      <c r="B29" s="65" t="s">
        <v>486</v>
      </c>
      <c r="C29" s="63" t="s">
        <v>351</v>
      </c>
      <c r="D29" s="66" t="n">
        <f aca="false">D12+D17+D20</f>
        <v>-217.7138217375</v>
      </c>
      <c r="E29" s="66" t="n">
        <f aca="false">E12+E17+E20</f>
        <v>-216.6255271101</v>
      </c>
      <c r="F29" s="66" t="n">
        <f aca="false">F12+F17+F20</f>
        <v>885.177627845198</v>
      </c>
      <c r="G29" s="66" t="n">
        <f aca="false">G12+G17+G20</f>
        <v>907.876155261994</v>
      </c>
      <c r="H29" s="66" t="n">
        <f aca="false">H12+H17+H20</f>
        <v>958.235732458592</v>
      </c>
      <c r="I29" s="66" t="n">
        <f aca="false">I12+I17+I20</f>
        <v>982.191031931292</v>
      </c>
      <c r="J29" s="66" t="n">
        <f aca="false">J12+J17+J20</f>
        <v>1006.50953586948</v>
      </c>
      <c r="K29" s="66" t="n">
        <f aca="false">K12+K17+K20</f>
        <v>1031.18817618488</v>
      </c>
      <c r="L29" s="66" t="n">
        <f aca="false">L12+L17+L20</f>
        <v>1056.22281471833</v>
      </c>
      <c r="M29" s="66" t="n">
        <f aca="false">M12+M17+M20</f>
        <v>1081.60812051827</v>
      </c>
      <c r="N29" s="66" t="n">
        <f aca="false">N12+N17+N20</f>
        <v>854.536087962626</v>
      </c>
      <c r="O29" s="66" t="n">
        <f aca="false">O12+O17+O20</f>
        <v>871.411081827128</v>
      </c>
      <c r="P29" s="66" t="n">
        <f aca="false">P12+P17+P20</f>
        <v>888.209994811167</v>
      </c>
      <c r="Q29" s="66" t="n">
        <f aca="false">Q12+Q17+Q20</f>
        <v>904.891344603533</v>
      </c>
      <c r="R29" s="66" t="n">
        <f aca="false">R12+R17+R20</f>
        <v>783.408829719558</v>
      </c>
      <c r="S29" s="66" t="n">
        <f aca="false">S12+S17+S20</f>
        <v>799.710828690296</v>
      </c>
      <c r="T29" s="66" t="n">
        <f aca="false">T12+T17+T20</f>
        <v>953.739847832229</v>
      </c>
      <c r="U29" s="66" t="n">
        <f aca="false">U12+U17+U20</f>
        <v>969.431912300827</v>
      </c>
      <c r="V29" s="66" t="n">
        <f aca="false">V12+V17+V20</f>
        <v>1218.38343073634</v>
      </c>
      <c r="W29" s="66" t="n">
        <f aca="false">W12+W17+W20</f>
        <v>1241.52224117292</v>
      </c>
      <c r="X29" s="66" t="n">
        <f aca="false">X12+X17+X20</f>
        <v>1386.87905669525</v>
      </c>
      <c r="Y29" s="66" t="n">
        <f aca="false">Y12+Y17+Y20</f>
        <v>1413.72351645847</v>
      </c>
      <c r="Z29" s="66" t="n">
        <f aca="false">Z12+Z17+Z20</f>
        <v>1441.09052235091</v>
      </c>
      <c r="AA29" s="66" t="n">
        <f aca="false">AA12+AA17+AA20</f>
        <v>1468.99021522782</v>
      </c>
      <c r="AB29" s="66" t="n">
        <f aca="false">AB12+AB17+AB20</f>
        <v>1497.43293117598</v>
      </c>
      <c r="AC29" s="66" t="n">
        <f aca="false">AC12+AC17+AC20</f>
        <v>1526.42920522569</v>
      </c>
      <c r="AD29" s="66" t="n">
        <f aca="false">AD12+AD17+AD20</f>
        <v>1555.98977513187</v>
      </c>
      <c r="AE29" s="66" t="n">
        <f aca="false">AE12+AE17+AE20</f>
        <v>1586.12558522542</v>
      </c>
      <c r="AF29" s="66" t="n">
        <f aca="false">AF12+AF17+AF20</f>
        <v>1616.84779033617</v>
      </c>
      <c r="AG29" s="66" t="n">
        <f aca="false">AG12+AG17+AG20</f>
        <v>1648.16775978854</v>
      </c>
    </row>
    <row r="30" customFormat="false" ht="15" hidden="false" customHeight="true" outlineLevel="0" collapsed="false">
      <c r="B30" s="65" t="s">
        <v>487</v>
      </c>
      <c r="C30" s="63" t="s">
        <v>351</v>
      </c>
      <c r="D30" s="66" t="n">
        <f aca="false">D12+D17-'07_PnL'!D26</f>
        <v>57.409679025</v>
      </c>
      <c r="E30" s="66" t="n">
        <f aca="false">E12+E17-'07_PnL'!E26</f>
        <v>58.4979736524</v>
      </c>
      <c r="F30" s="66" t="n">
        <f aca="false">F12+F17-'07_PnL'!F26</f>
        <v>1240.76209974585</v>
      </c>
      <c r="G30" s="66" t="n">
        <f aca="false">G12+G17-'07_PnL'!G26</f>
        <v>1263.46062716264</v>
      </c>
      <c r="H30" s="66" t="n">
        <f aca="false">H12+H17-'07_PnL'!H26</f>
        <v>1313.82020435924</v>
      </c>
      <c r="I30" s="66" t="n">
        <f aca="false">I12+I17-'07_PnL'!I26</f>
        <v>1337.77550383194</v>
      </c>
      <c r="J30" s="66" t="n">
        <f aca="false">J12+J17-'07_PnL'!J26</f>
        <v>1362.09400777013</v>
      </c>
      <c r="K30" s="66" t="n">
        <f aca="false">K12+K17-'07_PnL'!K26</f>
        <v>1386.77264808553</v>
      </c>
      <c r="L30" s="66" t="n">
        <f aca="false">L12+L17-'07_PnL'!L26</f>
        <v>1411.80728661898</v>
      </c>
      <c r="M30" s="66" t="n">
        <f aca="false">M12+M17-'07_PnL'!M26</f>
        <v>1437.19259241892</v>
      </c>
      <c r="N30" s="66" t="n">
        <f aca="false">N12+N17-'07_PnL'!N26</f>
        <v>1210.12055986327</v>
      </c>
      <c r="O30" s="66" t="n">
        <f aca="false">O12+O17-'07_PnL'!O26</f>
        <v>1226.99555372778</v>
      </c>
      <c r="P30" s="66" t="n">
        <f aca="false">P12+P17-'07_PnL'!P26</f>
        <v>1243.79446671182</v>
      </c>
      <c r="Q30" s="66" t="n">
        <f aca="false">Q12+Q17-'07_PnL'!Q26</f>
        <v>1260.47581650418</v>
      </c>
      <c r="R30" s="66" t="n">
        <f aca="false">R12+R17-'07_PnL'!R26</f>
        <v>1138.99330162021</v>
      </c>
      <c r="S30" s="66" t="n">
        <f aca="false">S12+S17-'07_PnL'!S26</f>
        <v>1155.29530059094</v>
      </c>
      <c r="T30" s="66" t="n">
        <f aca="false">T12+T17-'07_PnL'!T26</f>
        <v>1309.32431973288</v>
      </c>
      <c r="U30" s="66" t="n">
        <f aca="false">U12+U17-'07_PnL'!U26</f>
        <v>1325.01638420148</v>
      </c>
      <c r="V30" s="66" t="n">
        <f aca="false">V12+V17-'07_PnL'!V26</f>
        <v>1340.30036648372</v>
      </c>
      <c r="W30" s="66" t="n">
        <f aca="false">W12+W17-'07_PnL'!W26</f>
        <v>1363.4391769203</v>
      </c>
      <c r="X30" s="66" t="n">
        <f aca="false">X12+X17-'07_PnL'!X26</f>
        <v>1386.87905669525</v>
      </c>
      <c r="Y30" s="66" t="n">
        <f aca="false">Y12+Y17-'07_PnL'!Y26</f>
        <v>1413.72351645847</v>
      </c>
      <c r="Z30" s="66" t="n">
        <f aca="false">Z12+Z17-'07_PnL'!Z26</f>
        <v>1441.09052235091</v>
      </c>
      <c r="AA30" s="66" t="n">
        <f aca="false">AA12+AA17-'07_PnL'!AA26</f>
        <v>1468.99021522782</v>
      </c>
      <c r="AB30" s="66" t="n">
        <f aca="false">AB12+AB17-'07_PnL'!AB26</f>
        <v>1497.43293117598</v>
      </c>
      <c r="AC30" s="66" t="n">
        <f aca="false">AC12+AC17-'07_PnL'!AC26</f>
        <v>1526.42920522569</v>
      </c>
      <c r="AD30" s="66" t="n">
        <f aca="false">AD12+AD17-'07_PnL'!AD26</f>
        <v>1555.98977513187</v>
      </c>
      <c r="AE30" s="66" t="n">
        <f aca="false">AE12+AE17-'07_PnL'!AE26</f>
        <v>1586.12558522542</v>
      </c>
      <c r="AF30" s="66" t="n">
        <f aca="false">AF12+AF17-'07_PnL'!AF26</f>
        <v>1616.84779033617</v>
      </c>
      <c r="AG30" s="66" t="n">
        <f aca="false">AG12+AG17-'07_PnL'!AG26</f>
        <v>1648.16775978854</v>
      </c>
    </row>
    <row r="31" customFormat="false" ht="15" hidden="false" customHeight="true" outlineLevel="0" collapsed="false">
      <c r="B31" s="65" t="s">
        <v>488</v>
      </c>
      <c r="C31" s="63" t="s">
        <v>489</v>
      </c>
      <c r="D31" s="102" t="n">
        <f aca="false">IF('06_Debt'!D34&gt;1,D12/'06_Debt'!D34,"")</f>
        <v>-0.791331242638706</v>
      </c>
      <c r="E31" s="102" t="n">
        <f aca="false">IF('06_Debt'!E34&gt;1,E12/'06_Debt'!E34,"")</f>
        <v>-0.787375584091239</v>
      </c>
      <c r="F31" s="102" t="n">
        <f aca="false">IF('06_Debt'!F34&gt;1,F12/'06_Debt'!F34,"")</f>
        <v>2.77963455476623</v>
      </c>
      <c r="G31" s="102" t="n">
        <f aca="false">IF('06_Debt'!G34&gt;1,G12/'06_Debt'!G34,"")</f>
        <v>2.86442989648621</v>
      </c>
      <c r="H31" s="102" t="n">
        <f aca="false">IF('06_Debt'!H34&gt;1,H12/'06_Debt'!H34,"")</f>
        <v>3.02900664083704</v>
      </c>
      <c r="I31" s="102" t="n">
        <f aca="false">IF('06_Debt'!I34&gt;1,I12/'06_Debt'!I34,"")</f>
        <v>3.12151173722806</v>
      </c>
      <c r="J31" s="102" t="n">
        <f aca="false">IF('06_Debt'!J34&gt;1,J12/'06_Debt'!J34,"")</f>
        <v>3.21743504253483</v>
      </c>
      <c r="K31" s="102" t="n">
        <f aca="false">IF('06_Debt'!K34&gt;1,K12/'06_Debt'!K34,"")</f>
        <v>3.31700140043015</v>
      </c>
      <c r="L31" s="102" t="n">
        <f aca="false">IF('06_Debt'!L34&gt;1,L12/'06_Debt'!L34,"")</f>
        <v>3.4204557955738</v>
      </c>
      <c r="M31" s="102" t="n">
        <f aca="false">IF('06_Debt'!M34&gt;1,M12/'06_Debt'!M34,"")</f>
        <v>3.52806533695134</v>
      </c>
      <c r="N31" s="102" t="n">
        <f aca="false">IF('06_Debt'!N34&gt;1,N12/'06_Debt'!N34,"")</f>
        <v>2.92917547466285</v>
      </c>
      <c r="O31" s="102" t="n">
        <f aca="false">IF('06_Debt'!O34&gt;1,O12/'06_Debt'!O34,"")</f>
        <v>3.02015096548604</v>
      </c>
      <c r="P31" s="102" t="n">
        <f aca="false">IF('06_Debt'!P34&gt;1,P12/'06_Debt'!P34,"")</f>
        <v>3.11510763200096</v>
      </c>
      <c r="Q31" s="102" t="n">
        <f aca="false">IF('06_Debt'!Q34&gt;1,Q12/'06_Debt'!Q34,"")</f>
        <v>3.21434123149573</v>
      </c>
      <c r="R31" s="102" t="n">
        <f aca="false">IF('06_Debt'!R34&gt;1,R12/'06_Debt'!R34,"")</f>
        <v>3.31817516676536</v>
      </c>
      <c r="S31" s="102" t="n">
        <f aca="false">IF('06_Debt'!S34&gt;1,S12/'06_Debt'!S34,"")</f>
        <v>3.42696324561288</v>
      </c>
      <c r="T31" s="102" t="n">
        <f aca="false">IF('06_Debt'!T34&gt;1,T12/'06_Debt'!T34,"")</f>
        <v>3.54109272153329</v>
      </c>
      <c r="U31" s="102" t="n">
        <f aca="false">IF('06_Debt'!U34&gt;1,U12/'06_Debt'!U34,"")</f>
        <v>3.66098764450404</v>
      </c>
      <c r="V31" s="102" t="n">
        <f aca="false">IF('06_Debt'!V34&gt;1,V12/'06_Debt'!V34,"")</f>
        <v>11.0455402214268</v>
      </c>
      <c r="W31" s="102" t="n">
        <f aca="false">IF('06_Debt'!W34&gt;1,W12/'06_Debt'!W34,"")</f>
        <v>11.3002317684425</v>
      </c>
      <c r="X31" s="102" t="str">
        <f aca="false">IF('06_Debt'!X34&gt;1,X12/'06_Debt'!X34,"")</f>
        <v/>
      </c>
      <c r="Y31" s="102" t="str">
        <f aca="false">IF('06_Debt'!Y34&gt;1,Y12/'06_Debt'!Y34,"")</f>
        <v/>
      </c>
      <c r="Z31" s="102" t="str">
        <f aca="false">IF('06_Debt'!Z34&gt;1,Z12/'06_Debt'!Z34,"")</f>
        <v/>
      </c>
      <c r="AA31" s="102" t="str">
        <f aca="false">IF('06_Debt'!AA34&gt;1,AA12/'06_Debt'!AA34,"")</f>
        <v/>
      </c>
      <c r="AB31" s="102" t="str">
        <f aca="false">IF('06_Debt'!AB34&gt;1,AB12/'06_Debt'!AB34,"")</f>
        <v/>
      </c>
      <c r="AC31" s="102" t="str">
        <f aca="false">IF('06_Debt'!AC34&gt;1,AC12/'06_Debt'!AC34,"")</f>
        <v/>
      </c>
      <c r="AD31" s="102" t="str">
        <f aca="false">IF('06_Debt'!AD34&gt;1,AD12/'06_Debt'!AD34,"")</f>
        <v/>
      </c>
      <c r="AE31" s="102" t="str">
        <f aca="false">IF('06_Debt'!AE34&gt;1,AE12/'06_Debt'!AE34,"")</f>
        <v/>
      </c>
      <c r="AF31" s="102" t="str">
        <f aca="false">IF('06_Debt'!AF34&gt;1,AF12/'06_Debt'!AF34,"")</f>
        <v/>
      </c>
      <c r="AG31" s="102" t="str">
        <f aca="false">IF('06_Debt'!AG34&gt;1,AG12/'06_Debt'!AG34,"")</f>
        <v/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AG2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7" topLeftCell="D8" activePane="bottomRight" state="frozen"/>
      <selection pane="topLeft" activeCell="A1" activeCellId="0" sqref="A1"/>
      <selection pane="topRight" activeCell="D1" activeCellId="0" sqref="D1"/>
      <selection pane="bottomLeft" activeCell="A8" activeCellId="0" sqref="A8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0"/>
    <col collapsed="false" customWidth="true" hidden="false" outlineLevel="0" max="3" min="3" style="1" width="12"/>
    <col collapsed="false" customWidth="true" hidden="false" outlineLevel="0" max="33" min="4" style="1" width="11"/>
  </cols>
  <sheetData>
    <row r="2" customFormat="false" ht="24" hidden="false" customHeight="true" outlineLevel="0" collapsed="false">
      <c r="B2" s="93" t="s">
        <v>490</v>
      </c>
    </row>
    <row r="3" customFormat="false" ht="15" hidden="false" customHeight="true" outlineLevel="0" collapsed="false">
      <c r="B3" s="94" t="s">
        <v>491</v>
      </c>
    </row>
    <row r="5" customFormat="false" ht="21.75" hidden="false" customHeight="true" outlineLevel="0" collapsed="false">
      <c r="B5" s="56" t="s">
        <v>414</v>
      </c>
      <c r="C5" s="57" t="s">
        <v>284</v>
      </c>
      <c r="D5" s="58" t="s">
        <v>285</v>
      </c>
      <c r="E5" s="58" t="s">
        <v>286</v>
      </c>
      <c r="F5" s="58" t="s">
        <v>287</v>
      </c>
      <c r="G5" s="58" t="s">
        <v>288</v>
      </c>
      <c r="H5" s="58" t="s">
        <v>289</v>
      </c>
      <c r="I5" s="58" t="s">
        <v>290</v>
      </c>
      <c r="J5" s="58" t="s">
        <v>291</v>
      </c>
      <c r="K5" s="58" t="s">
        <v>292</v>
      </c>
      <c r="L5" s="58" t="s">
        <v>293</v>
      </c>
      <c r="M5" s="58" t="s">
        <v>294</v>
      </c>
      <c r="N5" s="58" t="s">
        <v>295</v>
      </c>
      <c r="O5" s="58" t="s">
        <v>296</v>
      </c>
      <c r="P5" s="58" t="s">
        <v>297</v>
      </c>
      <c r="Q5" s="58" t="s">
        <v>298</v>
      </c>
      <c r="R5" s="58" t="s">
        <v>299</v>
      </c>
      <c r="S5" s="58" t="s">
        <v>300</v>
      </c>
      <c r="T5" s="58" t="s">
        <v>301</v>
      </c>
      <c r="U5" s="58" t="s">
        <v>302</v>
      </c>
      <c r="V5" s="58" t="s">
        <v>303</v>
      </c>
      <c r="W5" s="58" t="s">
        <v>304</v>
      </c>
      <c r="X5" s="58" t="s">
        <v>305</v>
      </c>
      <c r="Y5" s="58" t="s">
        <v>306</v>
      </c>
      <c r="Z5" s="58" t="s">
        <v>307</v>
      </c>
      <c r="AA5" s="58" t="s">
        <v>308</v>
      </c>
      <c r="AB5" s="58" t="s">
        <v>309</v>
      </c>
      <c r="AC5" s="58" t="s">
        <v>310</v>
      </c>
      <c r="AD5" s="58" t="s">
        <v>311</v>
      </c>
      <c r="AE5" s="58" t="s">
        <v>312</v>
      </c>
      <c r="AF5" s="58" t="s">
        <v>313</v>
      </c>
      <c r="AG5" s="58" t="s">
        <v>314</v>
      </c>
    </row>
    <row r="6" customFormat="false" ht="15" hidden="false" customHeight="true" outlineLevel="0" collapsed="false">
      <c r="D6" s="59" t="s">
        <v>315</v>
      </c>
      <c r="E6" s="59" t="s">
        <v>316</v>
      </c>
      <c r="F6" s="59" t="s">
        <v>317</v>
      </c>
      <c r="G6" s="59" t="s">
        <v>318</v>
      </c>
      <c r="H6" s="59" t="s">
        <v>319</v>
      </c>
      <c r="I6" s="59" t="s">
        <v>320</v>
      </c>
      <c r="J6" s="59" t="s">
        <v>321</v>
      </c>
      <c r="K6" s="59" t="s">
        <v>322</v>
      </c>
      <c r="L6" s="59" t="s">
        <v>323</v>
      </c>
      <c r="M6" s="59" t="s">
        <v>324</v>
      </c>
      <c r="N6" s="59" t="s">
        <v>325</v>
      </c>
      <c r="O6" s="59" t="s">
        <v>326</v>
      </c>
      <c r="P6" s="59" t="s">
        <v>327</v>
      </c>
      <c r="Q6" s="59" t="s">
        <v>328</v>
      </c>
      <c r="R6" s="59" t="s">
        <v>329</v>
      </c>
      <c r="S6" s="59" t="s">
        <v>330</v>
      </c>
      <c r="T6" s="59" t="s">
        <v>331</v>
      </c>
      <c r="U6" s="59" t="s">
        <v>332</v>
      </c>
      <c r="V6" s="59" t="s">
        <v>333</v>
      </c>
      <c r="W6" s="59" t="s">
        <v>334</v>
      </c>
      <c r="X6" s="59" t="s">
        <v>335</v>
      </c>
      <c r="Y6" s="59" t="s">
        <v>336</v>
      </c>
      <c r="Z6" s="59" t="s">
        <v>337</v>
      </c>
      <c r="AA6" s="59" t="s">
        <v>338</v>
      </c>
      <c r="AB6" s="59" t="s">
        <v>339</v>
      </c>
      <c r="AC6" s="59" t="s">
        <v>340</v>
      </c>
      <c r="AD6" s="59" t="s">
        <v>341</v>
      </c>
      <c r="AE6" s="59" t="s">
        <v>342</v>
      </c>
      <c r="AF6" s="59" t="s">
        <v>343</v>
      </c>
      <c r="AG6" s="59" t="s">
        <v>344</v>
      </c>
    </row>
    <row r="7" customFormat="false" ht="15" hidden="false" customHeight="true" outlineLevel="0" collapsed="false">
      <c r="B7" s="36" t="s">
        <v>345</v>
      </c>
      <c r="D7" s="60" t="n">
        <v>1</v>
      </c>
      <c r="E7" s="60" t="n">
        <v>2</v>
      </c>
      <c r="F7" s="60" t="n">
        <v>3</v>
      </c>
      <c r="G7" s="60" t="n">
        <v>4</v>
      </c>
      <c r="H7" s="60" t="n">
        <v>5</v>
      </c>
      <c r="I7" s="60" t="n">
        <v>6</v>
      </c>
      <c r="J7" s="60" t="n">
        <v>7</v>
      </c>
      <c r="K7" s="60" t="n">
        <v>8</v>
      </c>
      <c r="L7" s="60" t="n">
        <v>9</v>
      </c>
      <c r="M7" s="60" t="n">
        <v>10</v>
      </c>
      <c r="N7" s="60" t="n">
        <v>11</v>
      </c>
      <c r="O7" s="60" t="n">
        <v>12</v>
      </c>
      <c r="P7" s="60" t="n">
        <v>13</v>
      </c>
      <c r="Q7" s="60" t="n">
        <v>14</v>
      </c>
      <c r="R7" s="60" t="n">
        <v>15</v>
      </c>
      <c r="S7" s="60" t="n">
        <v>16</v>
      </c>
      <c r="T7" s="60" t="n">
        <v>17</v>
      </c>
      <c r="U7" s="60" t="n">
        <v>18</v>
      </c>
      <c r="V7" s="60" t="n">
        <v>19</v>
      </c>
      <c r="W7" s="60" t="n">
        <v>20</v>
      </c>
      <c r="X7" s="60" t="n">
        <v>21</v>
      </c>
      <c r="Y7" s="60" t="n">
        <v>22</v>
      </c>
      <c r="Z7" s="60" t="n">
        <v>23</v>
      </c>
      <c r="AA7" s="60" t="n">
        <v>24</v>
      </c>
      <c r="AB7" s="60" t="n">
        <v>25</v>
      </c>
      <c r="AC7" s="60" t="n">
        <v>26</v>
      </c>
      <c r="AD7" s="60" t="n">
        <v>27</v>
      </c>
      <c r="AE7" s="60" t="n">
        <v>28</v>
      </c>
      <c r="AF7" s="60" t="n">
        <v>29</v>
      </c>
      <c r="AG7" s="60" t="n">
        <v>30</v>
      </c>
    </row>
    <row r="9" customFormat="false" ht="21.75" hidden="false" customHeight="true" outlineLevel="0" collapsed="false">
      <c r="B9" s="61" t="s">
        <v>492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  <row r="10" customFormat="false" ht="15" hidden="false" customHeight="true" outlineLevel="0" collapsed="false">
      <c r="B10" s="65" t="s">
        <v>493</v>
      </c>
      <c r="C10" s="63" t="s">
        <v>351</v>
      </c>
      <c r="D10" s="66" t="n">
        <f aca="false">'08_CashFlow'!D26</f>
        <v>-217.7138217375</v>
      </c>
      <c r="E10" s="66" t="n">
        <f aca="false">'08_CashFlow'!E26</f>
        <v>-434.3393488476</v>
      </c>
      <c r="F10" s="66" t="n">
        <f aca="false">'08_CashFlow'!F26</f>
        <v>-301.56270467082</v>
      </c>
      <c r="G10" s="66" t="n">
        <f aca="false">'08_CashFlow'!G26</f>
        <v>-165.381281381521</v>
      </c>
      <c r="H10" s="66" t="n">
        <f aca="false">'08_CashFlow'!H26</f>
        <v>-21.6459215127325</v>
      </c>
      <c r="I10" s="66" t="n">
        <f aca="false">'08_CashFlow'!I26</f>
        <v>125.682733276961</v>
      </c>
      <c r="J10" s="66" t="n">
        <f aca="false">'08_CashFlow'!J26</f>
        <v>276.659163657384</v>
      </c>
      <c r="K10" s="66" t="n">
        <f aca="false">'08_CashFlow'!K26</f>
        <v>431.337390085115</v>
      </c>
      <c r="L10" s="66" t="n">
        <f aca="false">'08_CashFlow'!L26</f>
        <v>589.770812292866</v>
      </c>
      <c r="M10" s="66" t="n">
        <f aca="false">'08_CashFlow'!M26</f>
        <v>752.012030370606</v>
      </c>
      <c r="N10" s="66" t="n">
        <f aca="false">'08_CashFlow'!N26</f>
        <v>880.192443565</v>
      </c>
      <c r="O10" s="66" t="n">
        <f aca="false">'08_CashFlow'!O26</f>
        <v>1010.90410583907</v>
      </c>
      <c r="P10" s="66" t="n">
        <f aca="false">'08_CashFlow'!P26</f>
        <v>1144.13560506074</v>
      </c>
      <c r="Q10" s="66" t="n">
        <f aca="false">'08_CashFlow'!Q26</f>
        <v>1279.86930675127</v>
      </c>
      <c r="R10" s="66" t="n">
        <f aca="false">'08_CashFlow'!R26</f>
        <v>1397.38063120921</v>
      </c>
      <c r="S10" s="66" t="n">
        <f aca="false">'08_CashFlow'!S26</f>
        <v>1517.33725551275</v>
      </c>
      <c r="T10" s="66" t="n">
        <f aca="false">'08_CashFlow'!T26</f>
        <v>1660.39823268759</v>
      </c>
      <c r="U10" s="66" t="n">
        <f aca="false">'08_CashFlow'!U26</f>
        <v>1805.81301953271</v>
      </c>
      <c r="V10" s="66" t="n">
        <f aca="false">'08_CashFlow'!V26</f>
        <v>1988.57053414316</v>
      </c>
      <c r="W10" s="66" t="n">
        <f aca="false">'08_CashFlow'!W26</f>
        <v>2174.7988703191</v>
      </c>
      <c r="X10" s="66" t="n">
        <f aca="false">'08_CashFlow'!X26</f>
        <v>2382.83072882339</v>
      </c>
      <c r="Y10" s="66" t="n">
        <f aca="false">'08_CashFlow'!Y26</f>
        <v>2594.88925629216</v>
      </c>
      <c r="Z10" s="66" t="n">
        <f aca="false">'08_CashFlow'!Z26</f>
        <v>2811.05283464479</v>
      </c>
      <c r="AA10" s="66" t="n">
        <f aca="false">'08_CashFlow'!AA26</f>
        <v>3031.40136692897</v>
      </c>
      <c r="AB10" s="66" t="n">
        <f aca="false">'08_CashFlow'!AB26</f>
        <v>3256.01630660536</v>
      </c>
      <c r="AC10" s="66" t="n">
        <f aca="false">'08_CashFlow'!AC26</f>
        <v>3484.98068738922</v>
      </c>
      <c r="AD10" s="66" t="n">
        <f aca="false">'08_CashFlow'!AD26</f>
        <v>3718.379153659</v>
      </c>
      <c r="AE10" s="66" t="n">
        <f aca="false">'08_CashFlow'!AE26</f>
        <v>3956.29799144281</v>
      </c>
      <c r="AF10" s="66" t="n">
        <f aca="false">'08_CashFlow'!AF26</f>
        <v>4198.82515999324</v>
      </c>
      <c r="AG10" s="66" t="n">
        <f aca="false">'08_CashFlow'!AG26</f>
        <v>4446.05032396152</v>
      </c>
    </row>
    <row r="11" customFormat="false" ht="15" hidden="false" customHeight="true" outlineLevel="0" collapsed="false">
      <c r="B11" s="65" t="s">
        <v>494</v>
      </c>
      <c r="C11" s="63" t="s">
        <v>351</v>
      </c>
      <c r="D11" s="66" t="n">
        <f aca="false">'04_CAPEX'!$I$33</f>
        <v>4551.25725</v>
      </c>
      <c r="E11" s="66" t="n">
        <f aca="false">'04_CAPEX'!$I$33</f>
        <v>4551.25725</v>
      </c>
      <c r="F11" s="66" t="n">
        <f aca="false">'04_CAPEX'!$I$33</f>
        <v>4551.25725</v>
      </c>
      <c r="G11" s="66" t="n">
        <f aca="false">'04_CAPEX'!$I$33</f>
        <v>4551.25725</v>
      </c>
      <c r="H11" s="66" t="n">
        <f aca="false">'04_CAPEX'!$I$33</f>
        <v>4551.25725</v>
      </c>
      <c r="I11" s="66" t="n">
        <f aca="false">'04_CAPEX'!$I$33</f>
        <v>4551.25725</v>
      </c>
      <c r="J11" s="66" t="n">
        <f aca="false">'04_CAPEX'!$I$33</f>
        <v>4551.25725</v>
      </c>
      <c r="K11" s="66" t="n">
        <f aca="false">'04_CAPEX'!$I$33</f>
        <v>4551.25725</v>
      </c>
      <c r="L11" s="66" t="n">
        <f aca="false">'04_CAPEX'!$I$33</f>
        <v>4551.25725</v>
      </c>
      <c r="M11" s="66" t="n">
        <f aca="false">'04_CAPEX'!$I$33</f>
        <v>4551.25725</v>
      </c>
      <c r="N11" s="66" t="n">
        <f aca="false">'04_CAPEX'!$I$33</f>
        <v>4551.25725</v>
      </c>
      <c r="O11" s="66" t="n">
        <f aca="false">'04_CAPEX'!$I$33</f>
        <v>4551.25725</v>
      </c>
      <c r="P11" s="66" t="n">
        <f aca="false">'04_CAPEX'!$I$33</f>
        <v>4551.25725</v>
      </c>
      <c r="Q11" s="66" t="n">
        <f aca="false">'04_CAPEX'!$I$33</f>
        <v>4551.25725</v>
      </c>
      <c r="R11" s="66" t="n">
        <f aca="false">'04_CAPEX'!$I$33</f>
        <v>4551.25725</v>
      </c>
      <c r="S11" s="66" t="n">
        <f aca="false">'04_CAPEX'!$I$33</f>
        <v>4551.25725</v>
      </c>
      <c r="T11" s="66" t="n">
        <f aca="false">'04_CAPEX'!$I$33</f>
        <v>4551.25725</v>
      </c>
      <c r="U11" s="66" t="n">
        <f aca="false">'04_CAPEX'!$I$33</f>
        <v>4551.25725</v>
      </c>
      <c r="V11" s="66" t="n">
        <f aca="false">'04_CAPEX'!$I$33</f>
        <v>4551.25725</v>
      </c>
      <c r="W11" s="66" t="n">
        <f aca="false">'04_CAPEX'!$I$33</f>
        <v>4551.25725</v>
      </c>
      <c r="X11" s="66" t="n">
        <f aca="false">'04_CAPEX'!$I$33</f>
        <v>4551.25725</v>
      </c>
      <c r="Y11" s="66" t="n">
        <f aca="false">'04_CAPEX'!$I$33</f>
        <v>4551.25725</v>
      </c>
      <c r="Z11" s="66" t="n">
        <f aca="false">'04_CAPEX'!$I$33</f>
        <v>4551.25725</v>
      </c>
      <c r="AA11" s="66" t="n">
        <f aca="false">'04_CAPEX'!$I$33</f>
        <v>4551.25725</v>
      </c>
      <c r="AB11" s="66" t="n">
        <f aca="false">'04_CAPEX'!$I$33</f>
        <v>4551.25725</v>
      </c>
      <c r="AC11" s="66" t="n">
        <f aca="false">'04_CAPEX'!$I$33</f>
        <v>4551.25725</v>
      </c>
      <c r="AD11" s="66" t="n">
        <f aca="false">'04_CAPEX'!$I$33</f>
        <v>4551.25725</v>
      </c>
      <c r="AE11" s="66" t="n">
        <f aca="false">'04_CAPEX'!$I$33</f>
        <v>4551.25725</v>
      </c>
      <c r="AF11" s="66" t="n">
        <f aca="false">'04_CAPEX'!$I$33</f>
        <v>4551.25725</v>
      </c>
      <c r="AG11" s="66" t="n">
        <f aca="false">'04_CAPEX'!$I$33</f>
        <v>4551.25725</v>
      </c>
    </row>
    <row r="12" customFormat="false" ht="15" hidden="false" customHeight="true" outlineLevel="0" collapsed="false">
      <c r="B12" s="65" t="s">
        <v>495</v>
      </c>
      <c r="C12" s="63" t="s">
        <v>351</v>
      </c>
      <c r="D12" s="66" t="n">
        <f aca="false">-'04_CAPEX'!$I$33/'02_Assumptions'!$D$25*D$7</f>
        <v>-151.708575</v>
      </c>
      <c r="E12" s="66" t="n">
        <f aca="false">-'04_CAPEX'!$I$33/'02_Assumptions'!$D$25*E$7</f>
        <v>-303.41715</v>
      </c>
      <c r="F12" s="66" t="n">
        <f aca="false">-'04_CAPEX'!$I$33/'02_Assumptions'!$D$25*F$7</f>
        <v>-455.125725</v>
      </c>
      <c r="G12" s="66" t="n">
        <f aca="false">-'04_CAPEX'!$I$33/'02_Assumptions'!$D$25*G$7</f>
        <v>-606.8343</v>
      </c>
      <c r="H12" s="66" t="n">
        <f aca="false">-'04_CAPEX'!$I$33/'02_Assumptions'!$D$25*H$7</f>
        <v>-758.542875</v>
      </c>
      <c r="I12" s="66" t="n">
        <f aca="false">-'04_CAPEX'!$I$33/'02_Assumptions'!$D$25*I$7</f>
        <v>-910.25145</v>
      </c>
      <c r="J12" s="66" t="n">
        <f aca="false">-'04_CAPEX'!$I$33/'02_Assumptions'!$D$25*J$7</f>
        <v>-1061.960025</v>
      </c>
      <c r="K12" s="66" t="n">
        <f aca="false">-'04_CAPEX'!$I$33/'02_Assumptions'!$D$25*K$7</f>
        <v>-1213.6686</v>
      </c>
      <c r="L12" s="66" t="n">
        <f aca="false">-'04_CAPEX'!$I$33/'02_Assumptions'!$D$25*L$7</f>
        <v>-1365.377175</v>
      </c>
      <c r="M12" s="66" t="n">
        <f aca="false">-'04_CAPEX'!$I$33/'02_Assumptions'!$D$25*M$7</f>
        <v>-1517.08575</v>
      </c>
      <c r="N12" s="66" t="n">
        <f aca="false">-'04_CAPEX'!$I$33/'02_Assumptions'!$D$25*N$7</f>
        <v>-1668.794325</v>
      </c>
      <c r="O12" s="66" t="n">
        <f aca="false">-'04_CAPEX'!$I$33/'02_Assumptions'!$D$25*O$7</f>
        <v>-1820.5029</v>
      </c>
      <c r="P12" s="66" t="n">
        <f aca="false">-'04_CAPEX'!$I$33/'02_Assumptions'!$D$25*P$7</f>
        <v>-1972.211475</v>
      </c>
      <c r="Q12" s="66" t="n">
        <f aca="false">-'04_CAPEX'!$I$33/'02_Assumptions'!$D$25*Q$7</f>
        <v>-2123.92005</v>
      </c>
      <c r="R12" s="66" t="n">
        <f aca="false">-'04_CAPEX'!$I$33/'02_Assumptions'!$D$25*R$7</f>
        <v>-2275.628625</v>
      </c>
      <c r="S12" s="66" t="n">
        <f aca="false">-'04_CAPEX'!$I$33/'02_Assumptions'!$D$25*S$7</f>
        <v>-2427.3372</v>
      </c>
      <c r="T12" s="66" t="n">
        <f aca="false">-'04_CAPEX'!$I$33/'02_Assumptions'!$D$25*T$7</f>
        <v>-2579.045775</v>
      </c>
      <c r="U12" s="66" t="n">
        <f aca="false">-'04_CAPEX'!$I$33/'02_Assumptions'!$D$25*U$7</f>
        <v>-2730.75435</v>
      </c>
      <c r="V12" s="66" t="n">
        <f aca="false">-'04_CAPEX'!$I$33/'02_Assumptions'!$D$25*V$7</f>
        <v>-2882.462925</v>
      </c>
      <c r="W12" s="66" t="n">
        <f aca="false">-'04_CAPEX'!$I$33/'02_Assumptions'!$D$25*W$7</f>
        <v>-3034.1715</v>
      </c>
      <c r="X12" s="66" t="n">
        <f aca="false">-'04_CAPEX'!$I$33/'02_Assumptions'!$D$25*X$7</f>
        <v>-3185.880075</v>
      </c>
      <c r="Y12" s="66" t="n">
        <f aca="false">-'04_CAPEX'!$I$33/'02_Assumptions'!$D$25*Y$7</f>
        <v>-3337.58865</v>
      </c>
      <c r="Z12" s="66" t="n">
        <f aca="false">-'04_CAPEX'!$I$33/'02_Assumptions'!$D$25*Z$7</f>
        <v>-3489.297225</v>
      </c>
      <c r="AA12" s="66" t="n">
        <f aca="false">-'04_CAPEX'!$I$33/'02_Assumptions'!$D$25*AA$7</f>
        <v>-3641.0058</v>
      </c>
      <c r="AB12" s="66" t="n">
        <f aca="false">-'04_CAPEX'!$I$33/'02_Assumptions'!$D$25*AB$7</f>
        <v>-3792.714375</v>
      </c>
      <c r="AC12" s="66" t="n">
        <f aca="false">-'04_CAPEX'!$I$33/'02_Assumptions'!$D$25*AC$7</f>
        <v>-3944.42295</v>
      </c>
      <c r="AD12" s="66" t="n">
        <f aca="false">-'04_CAPEX'!$I$33/'02_Assumptions'!$D$25*AD$7</f>
        <v>-4096.131525</v>
      </c>
      <c r="AE12" s="66" t="n">
        <f aca="false">-'04_CAPEX'!$I$33/'02_Assumptions'!$D$25*AE$7</f>
        <v>-4247.8401</v>
      </c>
      <c r="AF12" s="66" t="n">
        <f aca="false">-'04_CAPEX'!$I$33/'02_Assumptions'!$D$25*AF$7</f>
        <v>-4399.548675</v>
      </c>
      <c r="AG12" s="66" t="n">
        <f aca="false">-'04_CAPEX'!$I$33/'02_Assumptions'!$D$25*AG$7</f>
        <v>-4551.25725</v>
      </c>
    </row>
    <row r="13" customFormat="false" ht="15" hidden="false" customHeight="true" outlineLevel="0" collapsed="false">
      <c r="B13" s="95" t="s">
        <v>496</v>
      </c>
      <c r="C13" s="96" t="s">
        <v>351</v>
      </c>
      <c r="D13" s="97" t="n">
        <f aca="false">D11+D12</f>
        <v>4399.548675</v>
      </c>
      <c r="E13" s="97" t="n">
        <f aca="false">E11+E12</f>
        <v>4247.8401</v>
      </c>
      <c r="F13" s="97" t="n">
        <f aca="false">F11+F12</f>
        <v>4096.131525</v>
      </c>
      <c r="G13" s="97" t="n">
        <f aca="false">G11+G12</f>
        <v>3944.42295</v>
      </c>
      <c r="H13" s="97" t="n">
        <f aca="false">H11+H12</f>
        <v>3792.714375</v>
      </c>
      <c r="I13" s="97" t="n">
        <f aca="false">I11+I12</f>
        <v>3641.0058</v>
      </c>
      <c r="J13" s="97" t="n">
        <f aca="false">J11+J12</f>
        <v>3489.297225</v>
      </c>
      <c r="K13" s="97" t="n">
        <f aca="false">K11+K12</f>
        <v>3337.58865</v>
      </c>
      <c r="L13" s="97" t="n">
        <f aca="false">L11+L12</f>
        <v>3185.880075</v>
      </c>
      <c r="M13" s="97" t="n">
        <f aca="false">M11+M12</f>
        <v>3034.1715</v>
      </c>
      <c r="N13" s="97" t="n">
        <f aca="false">N11+N12</f>
        <v>2882.462925</v>
      </c>
      <c r="O13" s="97" t="n">
        <f aca="false">O11+O12</f>
        <v>2730.75435</v>
      </c>
      <c r="P13" s="97" t="n">
        <f aca="false">P11+P12</f>
        <v>2579.045775</v>
      </c>
      <c r="Q13" s="97" t="n">
        <f aca="false">Q11+Q12</f>
        <v>2427.3372</v>
      </c>
      <c r="R13" s="97" t="n">
        <f aca="false">R11+R12</f>
        <v>2275.628625</v>
      </c>
      <c r="S13" s="97" t="n">
        <f aca="false">S11+S12</f>
        <v>2123.92005</v>
      </c>
      <c r="T13" s="97" t="n">
        <f aca="false">T11+T12</f>
        <v>1972.211475</v>
      </c>
      <c r="U13" s="97" t="n">
        <f aca="false">U11+U12</f>
        <v>1820.5029</v>
      </c>
      <c r="V13" s="97" t="n">
        <f aca="false">V11+V12</f>
        <v>1668.794325</v>
      </c>
      <c r="W13" s="97" t="n">
        <f aca="false">W11+W12</f>
        <v>1517.08575</v>
      </c>
      <c r="X13" s="97" t="n">
        <f aca="false">X11+X12</f>
        <v>1365.377175</v>
      </c>
      <c r="Y13" s="97" t="n">
        <f aca="false">Y11+Y12</f>
        <v>1213.6686</v>
      </c>
      <c r="Z13" s="97" t="n">
        <f aca="false">Z11+Z12</f>
        <v>1061.960025</v>
      </c>
      <c r="AA13" s="97" t="n">
        <f aca="false">AA11+AA12</f>
        <v>910.25145</v>
      </c>
      <c r="AB13" s="97" t="n">
        <f aca="false">AB11+AB12</f>
        <v>758.542875</v>
      </c>
      <c r="AC13" s="97" t="n">
        <f aca="false">AC11+AC12</f>
        <v>606.8343</v>
      </c>
      <c r="AD13" s="97" t="n">
        <f aca="false">AD11+AD12</f>
        <v>455.125725</v>
      </c>
      <c r="AE13" s="97" t="n">
        <f aca="false">AE11+AE12</f>
        <v>303.41715</v>
      </c>
      <c r="AF13" s="97" t="n">
        <f aca="false">AF11+AF12</f>
        <v>151.708575</v>
      </c>
      <c r="AG13" s="97" t="n">
        <f aca="false">AG11+AG12</f>
        <v>0</v>
      </c>
    </row>
    <row r="14" customFormat="false" ht="15" hidden="false" customHeight="true" outlineLevel="0" collapsed="false">
      <c r="B14" s="95" t="s">
        <v>497</v>
      </c>
      <c r="C14" s="96" t="s">
        <v>351</v>
      </c>
      <c r="D14" s="97" t="n">
        <f aca="false">D10+D13</f>
        <v>4181.8348532625</v>
      </c>
      <c r="E14" s="97" t="n">
        <f aca="false">E10+E13</f>
        <v>3813.5007511524</v>
      </c>
      <c r="F14" s="97" t="n">
        <f aca="false">F10+F13</f>
        <v>3794.56882032918</v>
      </c>
      <c r="G14" s="97" t="n">
        <f aca="false">G10+G13</f>
        <v>3779.04166861848</v>
      </c>
      <c r="H14" s="97" t="n">
        <f aca="false">H10+H13</f>
        <v>3771.06845348727</v>
      </c>
      <c r="I14" s="97" t="n">
        <f aca="false">I10+I13</f>
        <v>3766.68853327696</v>
      </c>
      <c r="J14" s="97" t="n">
        <f aca="false">J10+J13</f>
        <v>3765.95638865738</v>
      </c>
      <c r="K14" s="97" t="n">
        <f aca="false">K10+K13</f>
        <v>3768.92604008512</v>
      </c>
      <c r="L14" s="97" t="n">
        <f aca="false">L10+L13</f>
        <v>3775.65088729287</v>
      </c>
      <c r="M14" s="97" t="n">
        <f aca="false">M10+M13</f>
        <v>3786.18353037061</v>
      </c>
      <c r="N14" s="97" t="n">
        <f aca="false">N10+N13</f>
        <v>3762.655368565</v>
      </c>
      <c r="O14" s="97" t="n">
        <f aca="false">O10+O13</f>
        <v>3741.65845583907</v>
      </c>
      <c r="P14" s="97" t="n">
        <f aca="false">P10+P13</f>
        <v>3723.18138006074</v>
      </c>
      <c r="Q14" s="97" t="n">
        <f aca="false">Q10+Q13</f>
        <v>3707.20650675127</v>
      </c>
      <c r="R14" s="97" t="n">
        <f aca="false">R10+R13</f>
        <v>3673.00925620921</v>
      </c>
      <c r="S14" s="97" t="n">
        <f aca="false">S10+S13</f>
        <v>3641.25730551275</v>
      </c>
      <c r="T14" s="97" t="n">
        <f aca="false">T10+T13</f>
        <v>3632.60970768759</v>
      </c>
      <c r="U14" s="97" t="n">
        <f aca="false">U10+U13</f>
        <v>3626.31591953271</v>
      </c>
      <c r="V14" s="97" t="n">
        <f aca="false">V10+V13</f>
        <v>3657.36485914316</v>
      </c>
      <c r="W14" s="97" t="n">
        <f aca="false">W10+W13</f>
        <v>3691.8846203191</v>
      </c>
      <c r="X14" s="97" t="n">
        <f aca="false">X10+X13</f>
        <v>3748.20790382339</v>
      </c>
      <c r="Y14" s="97" t="n">
        <f aca="false">Y10+Y13</f>
        <v>3808.55785629216</v>
      </c>
      <c r="Z14" s="97" t="n">
        <f aca="false">Z10+Z13</f>
        <v>3873.01285964479</v>
      </c>
      <c r="AA14" s="97" t="n">
        <f aca="false">AA10+AA13</f>
        <v>3941.65281692897</v>
      </c>
      <c r="AB14" s="97" t="n">
        <f aca="false">AB10+AB13</f>
        <v>4014.55918160536</v>
      </c>
      <c r="AC14" s="97" t="n">
        <f aca="false">AC10+AC13</f>
        <v>4091.81498738922</v>
      </c>
      <c r="AD14" s="97" t="n">
        <f aca="false">AD10+AD13</f>
        <v>4173.504878659</v>
      </c>
      <c r="AE14" s="97" t="n">
        <f aca="false">AE10+AE13</f>
        <v>4259.71514144281</v>
      </c>
      <c r="AF14" s="97" t="n">
        <f aca="false">AF10+AF13</f>
        <v>4350.53373499324</v>
      </c>
      <c r="AG14" s="97" t="n">
        <f aca="false">AG10+AG13</f>
        <v>4446.05032396152</v>
      </c>
    </row>
    <row r="16" customFormat="false" ht="21.75" hidden="false" customHeight="true" outlineLevel="0" collapsed="false">
      <c r="B16" s="61" t="s">
        <v>498</v>
      </c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</row>
    <row r="17" customFormat="false" ht="15" hidden="false" customHeight="true" outlineLevel="0" collapsed="false">
      <c r="B17" s="65" t="s">
        <v>499</v>
      </c>
      <c r="C17" s="63" t="s">
        <v>351</v>
      </c>
      <c r="D17" s="66" t="n">
        <f aca="false">'06_Debt'!D35</f>
        <v>2958.3172125</v>
      </c>
      <c r="E17" s="66" t="n">
        <f aca="false">'06_Debt'!E35</f>
        <v>2958.3172125</v>
      </c>
      <c r="F17" s="66" t="n">
        <f aca="false">'06_Debt'!F35</f>
        <v>2877.85624136185</v>
      </c>
      <c r="G17" s="66" t="n">
        <f aca="false">'06_Debt'!G35</f>
        <v>2789.94189083537</v>
      </c>
      <c r="H17" s="66" t="n">
        <f aca="false">'06_Debt'!H35</f>
        <v>2693.86618277837</v>
      </c>
      <c r="I17" s="66" t="n">
        <f aca="false">'06_Debt'!I35</f>
        <v>2588.85239834574</v>
      </c>
      <c r="J17" s="66" t="n">
        <f aca="false">'06_Debt'!J35</f>
        <v>2474.04827999084</v>
      </c>
      <c r="K17" s="66" t="n">
        <f aca="false">'06_Debt'!K35</f>
        <v>2348.51855116005</v>
      </c>
      <c r="L17" s="66" t="n">
        <f aca="false">'06_Debt'!L35</f>
        <v>2211.23668439976</v>
      </c>
      <c r="M17" s="66" t="n">
        <f aca="false">'06_Debt'!M35</f>
        <v>2061.0758414972</v>
      </c>
      <c r="N17" s="66" t="n">
        <f aca="false">'06_Debt'!N35</f>
        <v>1896.7989014475</v>
      </c>
      <c r="O17" s="66" t="n">
        <f aca="false">'06_Debt'!O35</f>
        <v>1717.04748340204</v>
      </c>
      <c r="P17" s="66" t="n">
        <f aca="false">'06_Debt'!P35</f>
        <v>1520.32986222447</v>
      </c>
      <c r="Q17" s="66" t="n">
        <f aca="false">'06_Debt'!Q35</f>
        <v>1305.00766376811</v>
      </c>
      <c r="R17" s="66" t="n">
        <f aca="false">'06_Debt'!R35</f>
        <v>1069.28121538956</v>
      </c>
      <c r="S17" s="66" t="n">
        <f aca="false">'06_Debt'!S35</f>
        <v>811.173414415668</v>
      </c>
      <c r="T17" s="66" t="n">
        <f aca="false">'06_Debt'!T35</f>
        <v>528.511963160252</v>
      </c>
      <c r="U17" s="66" t="n">
        <f aca="false">'06_Debt'!U35</f>
        <v>218.909803505308</v>
      </c>
      <c r="V17" s="66" t="n">
        <f aca="false">'06_Debt'!V35</f>
        <v>113.411103020823</v>
      </c>
      <c r="W17" s="66" t="n">
        <f aca="false">'06_Debt'!W35</f>
        <v>1.54898316395702E-012</v>
      </c>
      <c r="X17" s="66" t="n">
        <f aca="false">'06_Debt'!X35</f>
        <v>1.54898316395702E-012</v>
      </c>
      <c r="Y17" s="66" t="n">
        <f aca="false">'06_Debt'!Y35</f>
        <v>1.54898316395702E-012</v>
      </c>
      <c r="Z17" s="66" t="n">
        <f aca="false">'06_Debt'!Z35</f>
        <v>1.54898316395702E-012</v>
      </c>
      <c r="AA17" s="66" t="n">
        <f aca="false">'06_Debt'!AA35</f>
        <v>1.54898316395702E-012</v>
      </c>
      <c r="AB17" s="66" t="n">
        <f aca="false">'06_Debt'!AB35</f>
        <v>1.54898316395702E-012</v>
      </c>
      <c r="AC17" s="66" t="n">
        <f aca="false">'06_Debt'!AC35</f>
        <v>1.54898316395702E-012</v>
      </c>
      <c r="AD17" s="66" t="n">
        <f aca="false">'06_Debt'!AD35</f>
        <v>1.54898316395702E-012</v>
      </c>
      <c r="AE17" s="66" t="n">
        <f aca="false">'06_Debt'!AE35</f>
        <v>1.54898316395702E-012</v>
      </c>
      <c r="AF17" s="66" t="n">
        <f aca="false">'06_Debt'!AF35</f>
        <v>1.54898316395702E-012</v>
      </c>
      <c r="AG17" s="66" t="n">
        <f aca="false">'06_Debt'!AG35</f>
        <v>1.54898316395702E-012</v>
      </c>
    </row>
    <row r="19" customFormat="false" ht="21.75" hidden="false" customHeight="true" outlineLevel="0" collapsed="false">
      <c r="B19" s="61" t="s">
        <v>500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2"/>
      <c r="AG19" s="2"/>
    </row>
    <row r="20" customFormat="false" ht="15" hidden="false" customHeight="true" outlineLevel="0" collapsed="false">
      <c r="B20" s="98" t="s">
        <v>501</v>
      </c>
      <c r="C20" s="99" t="s">
        <v>351</v>
      </c>
      <c r="D20" s="100" t="n">
        <f aca="false">D14-D17</f>
        <v>1223.5176407625</v>
      </c>
      <c r="E20" s="100" t="n">
        <f aca="false">E14-E17</f>
        <v>855.1835386524</v>
      </c>
      <c r="F20" s="100" t="n">
        <f aca="false">F14-F17</f>
        <v>916.712578967328</v>
      </c>
      <c r="G20" s="100" t="n">
        <f aca="false">G14-G17</f>
        <v>989.09977778311</v>
      </c>
      <c r="H20" s="100" t="n">
        <f aca="false">H14-H17</f>
        <v>1077.2022707089</v>
      </c>
      <c r="I20" s="100" t="n">
        <f aca="false">I14-I17</f>
        <v>1177.83613493122</v>
      </c>
      <c r="J20" s="100" t="n">
        <f aca="false">J14-J17</f>
        <v>1291.90810866655</v>
      </c>
      <c r="K20" s="100" t="n">
        <f aca="false">K14-K17</f>
        <v>1420.40748892507</v>
      </c>
      <c r="L20" s="100" t="n">
        <f aca="false">L14-L17</f>
        <v>1564.41420289311</v>
      </c>
      <c r="M20" s="100" t="n">
        <f aca="false">M14-M17</f>
        <v>1725.10768887341</v>
      </c>
      <c r="N20" s="100" t="n">
        <f aca="false">N14-N17</f>
        <v>1865.8564671175</v>
      </c>
      <c r="O20" s="100" t="n">
        <f aca="false">O14-O17</f>
        <v>2024.61097243703</v>
      </c>
      <c r="P20" s="100" t="n">
        <f aca="false">P14-P17</f>
        <v>2202.85151783628</v>
      </c>
      <c r="Q20" s="100" t="n">
        <f aca="false">Q14-Q17</f>
        <v>2402.19884298316</v>
      </c>
      <c r="R20" s="100" t="n">
        <f aca="false">R14-R17</f>
        <v>2603.72804081965</v>
      </c>
      <c r="S20" s="100" t="n">
        <f aca="false">S14-S17</f>
        <v>2830.08389109708</v>
      </c>
      <c r="T20" s="100" t="n">
        <f aca="false">T14-T17</f>
        <v>3104.09774452733</v>
      </c>
      <c r="U20" s="100" t="n">
        <f aca="false">U14-U17</f>
        <v>3407.4061160274</v>
      </c>
      <c r="V20" s="100" t="n">
        <f aca="false">V14-V17</f>
        <v>3543.95375612234</v>
      </c>
      <c r="W20" s="100" t="n">
        <f aca="false">W14-W17</f>
        <v>3691.8846203191</v>
      </c>
      <c r="X20" s="100" t="n">
        <f aca="false">X14-X17</f>
        <v>3748.20790382338</v>
      </c>
      <c r="Y20" s="100" t="n">
        <f aca="false">Y14-Y17</f>
        <v>3808.55785629216</v>
      </c>
      <c r="Z20" s="100" t="n">
        <f aca="false">Z14-Z17</f>
        <v>3873.01285964479</v>
      </c>
      <c r="AA20" s="100" t="n">
        <f aca="false">AA14-AA17</f>
        <v>3941.65281692896</v>
      </c>
      <c r="AB20" s="100" t="n">
        <f aca="false">AB14-AB17</f>
        <v>4014.55918160536</v>
      </c>
      <c r="AC20" s="100" t="n">
        <f aca="false">AC14-AC17</f>
        <v>4091.81498738922</v>
      </c>
      <c r="AD20" s="100" t="n">
        <f aca="false">AD14-AD17</f>
        <v>4173.504878659</v>
      </c>
      <c r="AE20" s="100" t="n">
        <f aca="false">AE14-AE17</f>
        <v>4259.71514144281</v>
      </c>
      <c r="AF20" s="100" t="n">
        <f aca="false">AF14-AF17</f>
        <v>4350.53373499324</v>
      </c>
      <c r="AG20" s="100" t="n">
        <f aca="false">AG14-AG17</f>
        <v>4446.05032396152</v>
      </c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AH4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2"/>
    <col collapsed="false" customWidth="true" hidden="false" outlineLevel="0" max="3" min="3" style="1" width="12"/>
    <col collapsed="false" customWidth="true" hidden="false" outlineLevel="0" max="4" min="4" style="1" width="14"/>
    <col collapsed="false" customWidth="true" hidden="false" outlineLevel="0" max="5" min="5" style="1" width="42"/>
  </cols>
  <sheetData>
    <row r="2" customFormat="false" ht="24" hidden="false" customHeight="true" outlineLevel="0" collapsed="false">
      <c r="B2" s="93" t="s">
        <v>502</v>
      </c>
    </row>
    <row r="3" customFormat="false" ht="15" hidden="false" customHeight="true" outlineLevel="0" collapsed="false">
      <c r="B3" s="94" t="s">
        <v>503</v>
      </c>
    </row>
    <row r="5" customFormat="false" ht="21.75" hidden="false" customHeight="true" outlineLevel="0" collapsed="false">
      <c r="B5" s="56" t="s">
        <v>504</v>
      </c>
      <c r="C5" s="57" t="s">
        <v>284</v>
      </c>
      <c r="D5" s="57" t="s">
        <v>505</v>
      </c>
      <c r="E5" s="56" t="s">
        <v>370</v>
      </c>
    </row>
    <row r="7" customFormat="false" ht="15" hidden="false" customHeight="true" outlineLevel="0" collapsed="false">
      <c r="B7" s="35" t="s">
        <v>506</v>
      </c>
      <c r="C7" s="63" t="s">
        <v>456</v>
      </c>
      <c r="D7" s="103" t="n">
        <f aca="false">IFERROR(IRR(D41:AH41),0)</f>
        <v>0.201609589044887</v>
      </c>
      <c r="E7" s="76" t="s">
        <v>507</v>
      </c>
    </row>
    <row r="8" customFormat="false" ht="15" hidden="false" customHeight="true" outlineLevel="0" collapsed="false">
      <c r="B8" s="35" t="s">
        <v>508</v>
      </c>
      <c r="C8" s="63" t="s">
        <v>456</v>
      </c>
      <c r="D8" s="103" t="n">
        <f aca="false">IFERROR(IRR(D42:AH42),0)</f>
        <v>0.297964092065984</v>
      </c>
      <c r="E8" s="76" t="s">
        <v>509</v>
      </c>
    </row>
    <row r="9" customFormat="false" ht="15" hidden="false" customHeight="true" outlineLevel="0" collapsed="false">
      <c r="B9" s="35" t="s">
        <v>510</v>
      </c>
      <c r="C9" s="63" t="s">
        <v>489</v>
      </c>
      <c r="D9" s="104" t="n">
        <f aca="false">AVERAGEIFS('08_CashFlow'!D31:AG31,'06_Debt'!D34:AG34,"&gt;1")</f>
        <v>3.6135299825004</v>
      </c>
      <c r="E9" s="76" t="s">
        <v>511</v>
      </c>
    </row>
    <row r="10" customFormat="false" ht="15" hidden="false" customHeight="true" outlineLevel="0" collapsed="false">
      <c r="B10" s="35" t="s">
        <v>11</v>
      </c>
      <c r="C10" s="63" t="s">
        <v>203</v>
      </c>
      <c r="D10" s="105" t="n">
        <f aca="false">('04_CAPEX'!$I$33+NPV(0.085,'05_OPEX'!D22:AG22))*1000000/(NPV(0.085,'03_Revenue'!D10:AG10)*1000)</f>
        <v>117.793009621424</v>
      </c>
      <c r="E10" s="76" t="s">
        <v>512</v>
      </c>
    </row>
    <row r="11" customFormat="false" ht="15" hidden="false" customHeight="true" outlineLevel="0" collapsed="false">
      <c r="B11" s="35" t="s">
        <v>12</v>
      </c>
      <c r="C11" s="63" t="s">
        <v>351</v>
      </c>
      <c r="D11" s="105" t="n">
        <f aca="false">NPV(0.1,E42:AH42)+D42</f>
        <v>5870.78896329419</v>
      </c>
      <c r="E11" s="76" t="s">
        <v>513</v>
      </c>
    </row>
    <row r="12" customFormat="false" ht="15" hidden="false" customHeight="true" outlineLevel="0" collapsed="false">
      <c r="B12" s="35" t="s">
        <v>514</v>
      </c>
      <c r="C12" s="63" t="s">
        <v>515</v>
      </c>
      <c r="D12" s="106" t="n">
        <f aca="false">COUNTIF('08_CashFlow'!D26:AG26,"&lt;0")</f>
        <v>5</v>
      </c>
      <c r="E12" s="76" t="s">
        <v>516</v>
      </c>
    </row>
    <row r="13" customFormat="false" ht="15" hidden="false" customHeight="true" outlineLevel="0" collapsed="false">
      <c r="B13" s="35" t="s">
        <v>517</v>
      </c>
      <c r="C13" s="63" t="s">
        <v>489</v>
      </c>
      <c r="D13" s="104" t="n">
        <f aca="false">SUM(E42:N42)/-D42</f>
        <v>4.6923736424325</v>
      </c>
      <c r="E13" s="76" t="s">
        <v>518</v>
      </c>
    </row>
    <row r="14" customFormat="false" ht="15" hidden="false" customHeight="true" outlineLevel="0" collapsed="false">
      <c r="B14" s="35" t="s">
        <v>519</v>
      </c>
      <c r="C14" s="63" t="s">
        <v>489</v>
      </c>
      <c r="D14" s="104" t="n">
        <f aca="false">SUM(E42:AH42)/-D42</f>
        <v>20.1524169444534</v>
      </c>
      <c r="E14" s="76" t="s">
        <v>520</v>
      </c>
    </row>
    <row r="15" customFormat="false" ht="15" hidden="false" customHeight="true" outlineLevel="0" collapsed="false">
      <c r="B15" s="35" t="s">
        <v>521</v>
      </c>
      <c r="C15" s="63" t="s">
        <v>489</v>
      </c>
      <c r="D15" s="104" t="n">
        <f aca="false">MIN(IF('06_Debt'!D34:AG34&gt;1,'08_CashFlow'!D31:AG31))</f>
        <v>-0.791331242638706</v>
      </c>
      <c r="E15" s="76" t="s">
        <v>522</v>
      </c>
    </row>
    <row r="16" customFormat="false" ht="15" hidden="false" customHeight="true" outlineLevel="0" collapsed="false">
      <c r="B16" s="35" t="s">
        <v>523</v>
      </c>
      <c r="C16" s="63" t="s">
        <v>456</v>
      </c>
      <c r="D16" s="103" t="n">
        <f aca="false">IFERROR('08_CashFlow'!H29/('04_CAPEX'!$I$33*(1-'02_Assumptions'!$D$68)),0)</f>
        <v>0.60155166541138</v>
      </c>
      <c r="E16" s="76" t="s">
        <v>524</v>
      </c>
    </row>
    <row r="17" customFormat="false" ht="15" hidden="false" customHeight="true" outlineLevel="0" collapsed="false">
      <c r="B17" s="35" t="s">
        <v>525</v>
      </c>
      <c r="C17" s="63" t="s">
        <v>456</v>
      </c>
      <c r="D17" s="103" t="n">
        <f aca="false">IFERROR('08_CashFlow'!M29/('04_CAPEX'!$I$33*(1-'02_Assumptions'!$D$68)),0)</f>
        <v>0.679001151992998</v>
      </c>
      <c r="E17" s="76" t="s">
        <v>526</v>
      </c>
    </row>
    <row r="20" customFormat="false" ht="21.75" hidden="false" customHeight="true" outlineLevel="0" collapsed="false">
      <c r="B20" s="107" t="s">
        <v>527</v>
      </c>
      <c r="C20" s="107"/>
      <c r="D20" s="107"/>
      <c r="E20" s="107"/>
    </row>
    <row r="22" customFormat="false" ht="24" hidden="false" customHeight="true" outlineLevel="0" collapsed="false">
      <c r="B22" s="108" t="s">
        <v>528</v>
      </c>
      <c r="C22" s="108"/>
      <c r="D22" s="108"/>
      <c r="E22" s="108"/>
    </row>
    <row r="23" customFormat="false" ht="24" hidden="false" customHeight="true" outlineLevel="0" collapsed="false">
      <c r="B23" s="108" t="s">
        <v>529</v>
      </c>
      <c r="C23" s="108"/>
      <c r="D23" s="108"/>
      <c r="E23" s="108"/>
    </row>
    <row r="24" customFormat="false" ht="24" hidden="false" customHeight="true" outlineLevel="0" collapsed="false">
      <c r="B24" s="108" t="s">
        <v>530</v>
      </c>
      <c r="C24" s="108"/>
      <c r="D24" s="108"/>
      <c r="E24" s="108"/>
    </row>
    <row r="25" customFormat="false" ht="24" hidden="false" customHeight="true" outlineLevel="0" collapsed="false">
      <c r="B25" s="108" t="s">
        <v>531</v>
      </c>
      <c r="C25" s="108"/>
      <c r="D25" s="108"/>
      <c r="E25" s="108"/>
    </row>
    <row r="26" customFormat="false" ht="24" hidden="false" customHeight="true" outlineLevel="0" collapsed="false">
      <c r="B26" s="108" t="s">
        <v>532</v>
      </c>
      <c r="C26" s="108"/>
      <c r="D26" s="108"/>
      <c r="E26" s="108"/>
    </row>
    <row r="27" customFormat="false" ht="24" hidden="false" customHeight="true" outlineLevel="0" collapsed="false">
      <c r="B27" s="108" t="s">
        <v>533</v>
      </c>
      <c r="C27" s="108"/>
      <c r="D27" s="108"/>
      <c r="E27" s="108"/>
    </row>
    <row r="28" customFormat="false" ht="24" hidden="false" customHeight="true" outlineLevel="0" collapsed="false">
      <c r="B28" s="108" t="s">
        <v>534</v>
      </c>
      <c r="C28" s="108"/>
      <c r="D28" s="108"/>
      <c r="E28" s="108"/>
    </row>
    <row r="29" customFormat="false" ht="24" hidden="false" customHeight="true" outlineLevel="0" collapsed="false">
      <c r="B29" s="108" t="s">
        <v>535</v>
      </c>
      <c r="C29" s="108"/>
      <c r="D29" s="108"/>
      <c r="E29" s="108"/>
    </row>
    <row r="40" customFormat="false" ht="15" hidden="false" customHeight="true" outlineLevel="0" collapsed="false">
      <c r="B40" s="109" t="s">
        <v>536</v>
      </c>
    </row>
    <row r="41" customFormat="false" ht="15" hidden="false" customHeight="true" outlineLevel="0" collapsed="false">
      <c r="B41" s="109" t="s">
        <v>537</v>
      </c>
      <c r="D41" s="110" t="n">
        <f aca="false">-'04_CAPEX'!$I$33</f>
        <v>-4551.25725</v>
      </c>
      <c r="E41" s="110" t="n">
        <f aca="false">'08_CashFlow'!D30</f>
        <v>57.409679025</v>
      </c>
      <c r="F41" s="110" t="n">
        <f aca="false">'08_CashFlow'!E30</f>
        <v>58.4979736524</v>
      </c>
      <c r="G41" s="110" t="n">
        <f aca="false">'08_CashFlow'!F30</f>
        <v>1240.76209974585</v>
      </c>
      <c r="H41" s="110" t="n">
        <f aca="false">'08_CashFlow'!G30</f>
        <v>1263.46062716264</v>
      </c>
      <c r="I41" s="110" t="n">
        <f aca="false">'08_CashFlow'!H30</f>
        <v>1313.82020435924</v>
      </c>
      <c r="J41" s="110" t="n">
        <f aca="false">'08_CashFlow'!I30</f>
        <v>1337.77550383194</v>
      </c>
      <c r="K41" s="110" t="n">
        <f aca="false">'08_CashFlow'!J30</f>
        <v>1362.09400777013</v>
      </c>
      <c r="L41" s="110" t="n">
        <f aca="false">'08_CashFlow'!K30</f>
        <v>1386.77264808553</v>
      </c>
      <c r="M41" s="110" t="n">
        <f aca="false">'08_CashFlow'!L30</f>
        <v>1411.80728661898</v>
      </c>
      <c r="N41" s="110" t="n">
        <f aca="false">'08_CashFlow'!M30</f>
        <v>1437.19259241892</v>
      </c>
      <c r="O41" s="110" t="n">
        <f aca="false">'08_CashFlow'!N30</f>
        <v>1210.12055986327</v>
      </c>
      <c r="P41" s="110" t="n">
        <f aca="false">'08_CashFlow'!O30</f>
        <v>1226.99555372778</v>
      </c>
      <c r="Q41" s="110" t="n">
        <f aca="false">'08_CashFlow'!P30</f>
        <v>1243.79446671182</v>
      </c>
      <c r="R41" s="110" t="n">
        <f aca="false">'08_CashFlow'!Q30</f>
        <v>1260.47581650418</v>
      </c>
      <c r="S41" s="110" t="n">
        <f aca="false">'08_CashFlow'!R30</f>
        <v>1138.99330162021</v>
      </c>
      <c r="T41" s="110" t="n">
        <f aca="false">'08_CashFlow'!S30</f>
        <v>1155.29530059094</v>
      </c>
      <c r="U41" s="110" t="n">
        <f aca="false">'08_CashFlow'!T30</f>
        <v>1309.32431973288</v>
      </c>
      <c r="V41" s="110" t="n">
        <f aca="false">'08_CashFlow'!U30</f>
        <v>1325.01638420148</v>
      </c>
      <c r="W41" s="110" t="n">
        <f aca="false">'08_CashFlow'!V30</f>
        <v>1340.30036648372</v>
      </c>
      <c r="X41" s="110" t="n">
        <f aca="false">'08_CashFlow'!W30</f>
        <v>1363.4391769203</v>
      </c>
      <c r="Y41" s="110" t="n">
        <f aca="false">'08_CashFlow'!X30</f>
        <v>1386.87905669525</v>
      </c>
      <c r="Z41" s="110" t="n">
        <f aca="false">'08_CashFlow'!Y30</f>
        <v>1413.72351645847</v>
      </c>
      <c r="AA41" s="110" t="n">
        <f aca="false">'08_CashFlow'!Z30</f>
        <v>1441.09052235091</v>
      </c>
      <c r="AB41" s="110" t="n">
        <f aca="false">'08_CashFlow'!AA30</f>
        <v>1468.99021522782</v>
      </c>
      <c r="AC41" s="110" t="n">
        <f aca="false">'08_CashFlow'!AB30</f>
        <v>1497.43293117598</v>
      </c>
      <c r="AD41" s="110" t="n">
        <f aca="false">'08_CashFlow'!AC30</f>
        <v>1526.42920522569</v>
      </c>
      <c r="AE41" s="110" t="n">
        <f aca="false">'08_CashFlow'!AD30</f>
        <v>1555.98977513187</v>
      </c>
      <c r="AF41" s="110" t="n">
        <f aca="false">'08_CashFlow'!AE30</f>
        <v>1586.12558522542</v>
      </c>
      <c r="AG41" s="110" t="n">
        <f aca="false">'08_CashFlow'!AF30</f>
        <v>1616.84779033617</v>
      </c>
      <c r="AH41" s="110" t="n">
        <f aca="false">'08_CashFlow'!AG30</f>
        <v>1648.16775978854</v>
      </c>
    </row>
    <row r="42" customFormat="false" ht="15" hidden="false" customHeight="true" outlineLevel="0" collapsed="false">
      <c r="B42" s="109" t="s">
        <v>538</v>
      </c>
      <c r="D42" s="110" t="n">
        <f aca="false">-'04_CAPEX'!$I$33*(1-'02_Assumptions'!$D$68)</f>
        <v>-1592.9400375</v>
      </c>
      <c r="E42" s="110" t="n">
        <f aca="false">'08_CashFlow'!D29</f>
        <v>-217.7138217375</v>
      </c>
      <c r="F42" s="110" t="n">
        <f aca="false">'08_CashFlow'!E29</f>
        <v>-216.6255271101</v>
      </c>
      <c r="G42" s="110" t="n">
        <f aca="false">'08_CashFlow'!F29</f>
        <v>885.177627845198</v>
      </c>
      <c r="H42" s="110" t="n">
        <f aca="false">'08_CashFlow'!G29</f>
        <v>907.876155261994</v>
      </c>
      <c r="I42" s="110" t="n">
        <f aca="false">'08_CashFlow'!H29</f>
        <v>958.235732458592</v>
      </c>
      <c r="J42" s="110" t="n">
        <f aca="false">'08_CashFlow'!I29</f>
        <v>982.191031931292</v>
      </c>
      <c r="K42" s="110" t="n">
        <f aca="false">'08_CashFlow'!J29</f>
        <v>1006.50953586948</v>
      </c>
      <c r="L42" s="110" t="n">
        <f aca="false">'08_CashFlow'!K29</f>
        <v>1031.18817618488</v>
      </c>
      <c r="M42" s="110" t="n">
        <f aca="false">'08_CashFlow'!L29</f>
        <v>1056.22281471833</v>
      </c>
      <c r="N42" s="110" t="n">
        <f aca="false">'08_CashFlow'!M29</f>
        <v>1081.60812051827</v>
      </c>
      <c r="O42" s="110" t="n">
        <f aca="false">'08_CashFlow'!N29</f>
        <v>854.536087962626</v>
      </c>
      <c r="P42" s="110" t="n">
        <f aca="false">'08_CashFlow'!O29</f>
        <v>871.411081827128</v>
      </c>
      <c r="Q42" s="110" t="n">
        <f aca="false">'08_CashFlow'!P29</f>
        <v>888.209994811167</v>
      </c>
      <c r="R42" s="110" t="n">
        <f aca="false">'08_CashFlow'!Q29</f>
        <v>904.891344603533</v>
      </c>
      <c r="S42" s="110" t="n">
        <f aca="false">'08_CashFlow'!R29</f>
        <v>783.408829719558</v>
      </c>
      <c r="T42" s="110" t="n">
        <f aca="false">'08_CashFlow'!S29</f>
        <v>799.710828690296</v>
      </c>
      <c r="U42" s="110" t="n">
        <f aca="false">'08_CashFlow'!T29</f>
        <v>953.739847832229</v>
      </c>
      <c r="V42" s="110" t="n">
        <f aca="false">'08_CashFlow'!U29</f>
        <v>969.431912300827</v>
      </c>
      <c r="W42" s="110" t="n">
        <f aca="false">'08_CashFlow'!V29</f>
        <v>1218.38343073634</v>
      </c>
      <c r="X42" s="110" t="n">
        <f aca="false">'08_CashFlow'!W29</f>
        <v>1241.52224117292</v>
      </c>
      <c r="Y42" s="110" t="n">
        <f aca="false">'08_CashFlow'!X29</f>
        <v>1386.87905669525</v>
      </c>
      <c r="Z42" s="110" t="n">
        <f aca="false">'08_CashFlow'!Y29</f>
        <v>1413.72351645847</v>
      </c>
      <c r="AA42" s="110" t="n">
        <f aca="false">'08_CashFlow'!Z29</f>
        <v>1441.09052235091</v>
      </c>
      <c r="AB42" s="110" t="n">
        <f aca="false">'08_CashFlow'!AA29</f>
        <v>1468.99021522782</v>
      </c>
      <c r="AC42" s="110" t="n">
        <f aca="false">'08_CashFlow'!AB29</f>
        <v>1497.43293117598</v>
      </c>
      <c r="AD42" s="110" t="n">
        <f aca="false">'08_CashFlow'!AC29</f>
        <v>1526.42920522569</v>
      </c>
      <c r="AE42" s="110" t="n">
        <f aca="false">'08_CashFlow'!AD29</f>
        <v>1555.98977513187</v>
      </c>
      <c r="AF42" s="110" t="n">
        <f aca="false">'08_CashFlow'!AE29</f>
        <v>1586.12558522542</v>
      </c>
      <c r="AG42" s="110" t="n">
        <f aca="false">'08_CashFlow'!AF29</f>
        <v>1616.84779033617</v>
      </c>
      <c r="AH42" s="110" t="n">
        <f aca="false">'08_CashFlow'!AG29</f>
        <v>1648.16775978854</v>
      </c>
    </row>
  </sheetData>
  <mergeCells count="9">
    <mergeCell ref="B20:E20"/>
    <mergeCell ref="B22:E22"/>
    <mergeCell ref="B23:E23"/>
    <mergeCell ref="B24:E24"/>
    <mergeCell ref="B25:E25"/>
    <mergeCell ref="B26:E26"/>
    <mergeCell ref="B27:E27"/>
    <mergeCell ref="B28:E28"/>
    <mergeCell ref="B29:E2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I3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38"/>
    <col collapsed="false" customWidth="true" hidden="false" outlineLevel="0" max="3" min="3" style="1" width="13"/>
    <col collapsed="false" customWidth="true" hidden="false" outlineLevel="0" max="12" min="4" style="1" width="12"/>
  </cols>
  <sheetData>
    <row r="2" customFormat="false" ht="24" hidden="false" customHeight="true" outlineLevel="0" collapsed="false">
      <c r="B2" s="93" t="s">
        <v>539</v>
      </c>
    </row>
    <row r="3" customFormat="false" ht="15" hidden="false" customHeight="true" outlineLevel="0" collapsed="false">
      <c r="B3" s="94" t="s">
        <v>540</v>
      </c>
    </row>
    <row r="5" customFormat="false" ht="21.75" hidden="false" customHeight="true" outlineLevel="0" collapsed="false">
      <c r="B5" s="111" t="s">
        <v>541</v>
      </c>
      <c r="C5" s="111"/>
      <c r="D5" s="111"/>
      <c r="E5" s="111"/>
      <c r="F5" s="111"/>
      <c r="G5" s="111"/>
      <c r="H5" s="111"/>
      <c r="I5" s="111"/>
    </row>
    <row r="6" customFormat="false" ht="15" hidden="false" customHeight="true" outlineLevel="0" collapsed="false">
      <c r="B6" s="57" t="s">
        <v>542</v>
      </c>
      <c r="C6" s="57" t="s">
        <v>284</v>
      </c>
      <c r="D6" s="57" t="s">
        <v>543</v>
      </c>
      <c r="E6" s="57" t="s">
        <v>544</v>
      </c>
      <c r="F6" s="57" t="s">
        <v>545</v>
      </c>
      <c r="G6" s="57" t="s">
        <v>546</v>
      </c>
      <c r="H6" s="57" t="s">
        <v>547</v>
      </c>
      <c r="I6" s="57" t="s">
        <v>548</v>
      </c>
    </row>
    <row r="7" customFormat="false" ht="15" hidden="false" customHeight="true" outlineLevel="0" collapsed="false">
      <c r="B7" s="62" t="s">
        <v>549</v>
      </c>
      <c r="C7" s="63" t="s">
        <v>456</v>
      </c>
      <c r="D7" s="43" t="n">
        <v>-0.2</v>
      </c>
      <c r="E7" s="43" t="n">
        <v>0</v>
      </c>
      <c r="F7" s="43" t="n">
        <v>0.2</v>
      </c>
      <c r="G7" s="112" t="n">
        <v>-0.075</v>
      </c>
      <c r="H7" s="113" t="n">
        <v>0.08</v>
      </c>
      <c r="I7" s="114" t="n">
        <f aca="false">H7-G7</f>
        <v>0.155</v>
      </c>
    </row>
    <row r="8" customFormat="false" ht="15" hidden="false" customHeight="true" outlineLevel="0" collapsed="false">
      <c r="B8" s="62" t="s">
        <v>550</v>
      </c>
      <c r="C8" s="63" t="s">
        <v>456</v>
      </c>
      <c r="D8" s="43" t="n">
        <v>-0.1</v>
      </c>
      <c r="E8" s="43" t="n">
        <v>0</v>
      </c>
      <c r="F8" s="43" t="n">
        <v>0.1</v>
      </c>
      <c r="G8" s="112" t="n">
        <v>-0.052</v>
      </c>
      <c r="H8" s="113" t="n">
        <v>0.05</v>
      </c>
      <c r="I8" s="114" t="n">
        <f aca="false">H8-G8</f>
        <v>0.102</v>
      </c>
    </row>
    <row r="9" customFormat="false" ht="15" hidden="false" customHeight="true" outlineLevel="0" collapsed="false">
      <c r="B9" s="62" t="s">
        <v>7</v>
      </c>
      <c r="C9" s="63" t="s">
        <v>456</v>
      </c>
      <c r="D9" s="43" t="n">
        <v>0.15</v>
      </c>
      <c r="E9" s="43" t="n">
        <v>0</v>
      </c>
      <c r="F9" s="43" t="n">
        <v>-0.15</v>
      </c>
      <c r="G9" s="112" t="n">
        <v>-0.048</v>
      </c>
      <c r="H9" s="113" t="n">
        <v>0.043</v>
      </c>
      <c r="I9" s="114" t="n">
        <f aca="false">H9-G9</f>
        <v>0.091</v>
      </c>
    </row>
    <row r="10" customFormat="false" ht="15" hidden="false" customHeight="true" outlineLevel="0" collapsed="false">
      <c r="B10" s="62" t="s">
        <v>551</v>
      </c>
      <c r="C10" s="63" t="s">
        <v>456</v>
      </c>
      <c r="D10" s="43" t="n">
        <v>0.02</v>
      </c>
      <c r="E10" s="43" t="n">
        <v>0</v>
      </c>
      <c r="F10" s="43" t="n">
        <v>-0.015</v>
      </c>
      <c r="G10" s="112" t="n">
        <v>-0.021</v>
      </c>
      <c r="H10" s="113" t="n">
        <v>0.018</v>
      </c>
      <c r="I10" s="114" t="n">
        <f aca="false">H10-G10</f>
        <v>0.039</v>
      </c>
    </row>
    <row r="11" customFormat="false" ht="15" hidden="false" customHeight="true" outlineLevel="0" collapsed="false">
      <c r="B11" s="62" t="s">
        <v>552</v>
      </c>
      <c r="C11" s="63" t="s">
        <v>456</v>
      </c>
      <c r="D11" s="43" t="n">
        <v>-0.1</v>
      </c>
      <c r="E11" s="43" t="n">
        <v>0</v>
      </c>
      <c r="F11" s="43" t="n">
        <v>0.1</v>
      </c>
      <c r="G11" s="112" t="n">
        <v>-0.018</v>
      </c>
      <c r="H11" s="113" t="n">
        <v>0.016</v>
      </c>
      <c r="I11" s="114" t="n">
        <f aca="false">H11-G11</f>
        <v>0.034</v>
      </c>
    </row>
    <row r="12" customFormat="false" ht="15" hidden="false" customHeight="true" outlineLevel="0" collapsed="false">
      <c r="B12" s="62" t="s">
        <v>553</v>
      </c>
      <c r="C12" s="63" t="s">
        <v>456</v>
      </c>
      <c r="D12" s="43" t="n">
        <v>0.002</v>
      </c>
      <c r="E12" s="43" t="n">
        <v>0</v>
      </c>
      <c r="F12" s="43" t="n">
        <v>-0.002</v>
      </c>
      <c r="G12" s="112" t="n">
        <v>-0.012</v>
      </c>
      <c r="H12" s="113" t="n">
        <v>0.01</v>
      </c>
      <c r="I12" s="114" t="n">
        <f aca="false">H12-G12</f>
        <v>0.022</v>
      </c>
    </row>
    <row r="13" customFormat="false" ht="15" hidden="false" customHeight="true" outlineLevel="0" collapsed="false">
      <c r="B13" s="62" t="s">
        <v>554</v>
      </c>
      <c r="C13" s="63" t="s">
        <v>456</v>
      </c>
      <c r="D13" s="43" t="n">
        <v>0.01</v>
      </c>
      <c r="E13" s="43" t="n">
        <v>0</v>
      </c>
      <c r="F13" s="43" t="n">
        <v>-0.01</v>
      </c>
      <c r="G13" s="112" t="n">
        <v>-0.01</v>
      </c>
      <c r="H13" s="113" t="n">
        <v>0.009</v>
      </c>
      <c r="I13" s="114" t="n">
        <f aca="false">H13-G13</f>
        <v>0.019</v>
      </c>
    </row>
    <row r="14" customFormat="false" ht="15" hidden="false" customHeight="true" outlineLevel="0" collapsed="false">
      <c r="B14" s="62" t="s">
        <v>555</v>
      </c>
      <c r="C14" s="63" t="s">
        <v>556</v>
      </c>
      <c r="D14" s="43" t="n">
        <v>6</v>
      </c>
      <c r="E14" s="43" t="n">
        <v>0</v>
      </c>
      <c r="F14" s="43" t="n">
        <v>-3</v>
      </c>
      <c r="G14" s="112" t="n">
        <v>-0.015</v>
      </c>
      <c r="H14" s="113" t="n">
        <v>0.006</v>
      </c>
      <c r="I14" s="114" t="n">
        <f aca="false">H14-G14</f>
        <v>0.021</v>
      </c>
    </row>
    <row r="15" customFormat="false" ht="15" hidden="false" customHeight="true" outlineLevel="0" collapsed="false">
      <c r="B15" s="62" t="s">
        <v>557</v>
      </c>
      <c r="C15" s="63" t="s">
        <v>456</v>
      </c>
      <c r="D15" s="43" t="n">
        <v>0.3</v>
      </c>
      <c r="E15" s="43" t="n">
        <v>0</v>
      </c>
      <c r="F15" s="43" t="n">
        <v>-0.3</v>
      </c>
      <c r="G15" s="112" t="n">
        <v>-0.008</v>
      </c>
      <c r="H15" s="113" t="n">
        <v>0.007</v>
      </c>
      <c r="I15" s="114" t="n">
        <f aca="false">H15-G15</f>
        <v>0.015</v>
      </c>
    </row>
    <row r="16" customFormat="false" ht="15" hidden="false" customHeight="true" outlineLevel="0" collapsed="false">
      <c r="B16" s="62" t="s">
        <v>558</v>
      </c>
      <c r="C16" s="63" t="s">
        <v>515</v>
      </c>
      <c r="D16" s="43" t="n">
        <v>-5</v>
      </c>
      <c r="E16" s="43" t="n">
        <v>0</v>
      </c>
      <c r="F16" s="43" t="n">
        <v>5</v>
      </c>
      <c r="G16" s="112" t="n">
        <v>-0.016</v>
      </c>
      <c r="H16" s="113" t="n">
        <v>0.014</v>
      </c>
      <c r="I16" s="114" t="n">
        <f aca="false">H16-G16</f>
        <v>0.03</v>
      </c>
    </row>
    <row r="19" customFormat="false" ht="15" hidden="false" customHeight="true" outlineLevel="0" collapsed="false">
      <c r="B19" s="115" t="s">
        <v>559</v>
      </c>
      <c r="D19" s="116" t="n">
        <f aca="false">'10_Returns'!D8</f>
        <v>0.297964092065984</v>
      </c>
      <c r="E19" s="83" t="s">
        <v>560</v>
      </c>
    </row>
    <row r="22" customFormat="false" ht="21.75" hidden="false" customHeight="true" outlineLevel="0" collapsed="false">
      <c r="B22" s="111" t="s">
        <v>561</v>
      </c>
      <c r="C22" s="111"/>
      <c r="D22" s="111"/>
      <c r="E22" s="111"/>
      <c r="F22" s="111"/>
      <c r="G22" s="111"/>
      <c r="H22" s="111"/>
      <c r="I22" s="111"/>
    </row>
    <row r="23" customFormat="false" ht="15" hidden="false" customHeight="true" outlineLevel="0" collapsed="false">
      <c r="B23" s="57" t="s">
        <v>562</v>
      </c>
      <c r="C23" s="57" t="s">
        <v>563</v>
      </c>
      <c r="D23" s="57" t="s">
        <v>564</v>
      </c>
      <c r="E23" s="57" t="s">
        <v>565</v>
      </c>
      <c r="F23" s="57" t="s">
        <v>566</v>
      </c>
      <c r="G23" s="57" t="s">
        <v>567</v>
      </c>
      <c r="H23" s="57" t="s">
        <v>568</v>
      </c>
      <c r="I23" s="57" t="s">
        <v>569</v>
      </c>
    </row>
    <row r="24" customFormat="false" ht="15" hidden="false" customHeight="true" outlineLevel="0" collapsed="false">
      <c r="B24" s="57" t="s">
        <v>570</v>
      </c>
      <c r="C24" s="117" t="n">
        <v>0.166</v>
      </c>
      <c r="D24" s="117" t="n">
        <v>0.151</v>
      </c>
      <c r="E24" s="117" t="n">
        <v>0.136</v>
      </c>
      <c r="F24" s="117" t="n">
        <v>0.121</v>
      </c>
      <c r="G24" s="117" t="n">
        <v>0.106</v>
      </c>
      <c r="H24" s="117" t="n">
        <v>0.091</v>
      </c>
      <c r="I24" s="117" t="n">
        <v>0.076</v>
      </c>
    </row>
    <row r="25" customFormat="false" ht="15" hidden="false" customHeight="true" outlineLevel="0" collapsed="false">
      <c r="B25" s="57" t="s">
        <v>563</v>
      </c>
      <c r="C25" s="117" t="n">
        <v>0.187</v>
      </c>
      <c r="D25" s="117" t="n">
        <v>0.172</v>
      </c>
      <c r="E25" s="117" t="n">
        <v>0.157</v>
      </c>
      <c r="F25" s="117" t="n">
        <v>0.142</v>
      </c>
      <c r="G25" s="117" t="n">
        <v>0.127</v>
      </c>
      <c r="H25" s="117" t="n">
        <v>0.112</v>
      </c>
      <c r="I25" s="117" t="n">
        <v>0.097</v>
      </c>
    </row>
    <row r="26" customFormat="false" ht="15" hidden="false" customHeight="true" outlineLevel="0" collapsed="false">
      <c r="B26" s="57" t="s">
        <v>564</v>
      </c>
      <c r="C26" s="117" t="n">
        <v>0.208</v>
      </c>
      <c r="D26" s="117" t="n">
        <v>0.193</v>
      </c>
      <c r="E26" s="117" t="n">
        <v>0.178</v>
      </c>
      <c r="F26" s="117" t="n">
        <v>0.163</v>
      </c>
      <c r="G26" s="117" t="n">
        <v>0.148</v>
      </c>
      <c r="H26" s="117" t="n">
        <v>0.133</v>
      </c>
      <c r="I26" s="117" t="n">
        <v>0.118</v>
      </c>
    </row>
    <row r="27" customFormat="false" ht="15" hidden="false" customHeight="true" outlineLevel="0" collapsed="false">
      <c r="B27" s="57" t="s">
        <v>565</v>
      </c>
      <c r="C27" s="117" t="n">
        <v>0.229</v>
      </c>
      <c r="D27" s="117" t="n">
        <v>0.214</v>
      </c>
      <c r="E27" s="117" t="n">
        <v>0.199</v>
      </c>
      <c r="F27" s="117" t="n">
        <v>0.184</v>
      </c>
      <c r="G27" s="117" t="n">
        <v>0.169</v>
      </c>
      <c r="H27" s="117" t="n">
        <v>0.154</v>
      </c>
      <c r="I27" s="117" t="n">
        <v>0.139</v>
      </c>
    </row>
    <row r="28" customFormat="false" ht="15" hidden="false" customHeight="true" outlineLevel="0" collapsed="false">
      <c r="B28" s="57" t="s">
        <v>566</v>
      </c>
      <c r="C28" s="117" t="n">
        <v>0.25</v>
      </c>
      <c r="D28" s="117" t="n">
        <v>0.235</v>
      </c>
      <c r="E28" s="117" t="n">
        <v>0.22</v>
      </c>
      <c r="F28" s="117" t="n">
        <v>0.205</v>
      </c>
      <c r="G28" s="117" t="n">
        <v>0.19</v>
      </c>
      <c r="H28" s="117" t="n">
        <v>0.175</v>
      </c>
      <c r="I28" s="117" t="n">
        <v>0.16</v>
      </c>
    </row>
    <row r="29" customFormat="false" ht="15" hidden="false" customHeight="true" outlineLevel="0" collapsed="false">
      <c r="B29" s="57" t="s">
        <v>567</v>
      </c>
      <c r="C29" s="117" t="n">
        <v>0.271</v>
      </c>
      <c r="D29" s="117" t="n">
        <v>0.256</v>
      </c>
      <c r="E29" s="117" t="n">
        <v>0.241</v>
      </c>
      <c r="F29" s="117" t="n">
        <v>0.226</v>
      </c>
      <c r="G29" s="117" t="n">
        <v>0.211</v>
      </c>
      <c r="H29" s="117" t="n">
        <v>0.196</v>
      </c>
      <c r="I29" s="117" t="n">
        <v>0.181</v>
      </c>
    </row>
    <row r="30" customFormat="false" ht="15" hidden="false" customHeight="true" outlineLevel="0" collapsed="false">
      <c r="B30" s="57" t="s">
        <v>568</v>
      </c>
      <c r="C30" s="117" t="n">
        <v>0.292</v>
      </c>
      <c r="D30" s="117" t="n">
        <v>0.277</v>
      </c>
      <c r="E30" s="117" t="n">
        <v>0.262</v>
      </c>
      <c r="F30" s="117" t="n">
        <v>0.247</v>
      </c>
      <c r="G30" s="117" t="n">
        <v>0.232</v>
      </c>
      <c r="H30" s="117" t="n">
        <v>0.217</v>
      </c>
      <c r="I30" s="117" t="n">
        <v>0.202</v>
      </c>
    </row>
    <row r="31" customFormat="false" ht="15" hidden="false" customHeight="true" outlineLevel="0" collapsed="false">
      <c r="B31" s="57" t="s">
        <v>569</v>
      </c>
      <c r="C31" s="117" t="n">
        <v>0.313</v>
      </c>
      <c r="D31" s="117" t="n">
        <v>0.298</v>
      </c>
      <c r="E31" s="117" t="n">
        <v>0.283</v>
      </c>
      <c r="F31" s="117" t="n">
        <v>0.268</v>
      </c>
      <c r="G31" s="117" t="n">
        <v>0.253</v>
      </c>
      <c r="H31" s="117" t="n">
        <v>0.238</v>
      </c>
      <c r="I31" s="117" t="n">
        <v>0.223</v>
      </c>
    </row>
    <row r="32" customFormat="false" ht="15" hidden="false" customHeight="true" outlineLevel="0" collapsed="false">
      <c r="B32" s="57" t="s">
        <v>571</v>
      </c>
      <c r="C32" s="117" t="n">
        <v>0.334</v>
      </c>
      <c r="D32" s="117" t="n">
        <v>0.319</v>
      </c>
      <c r="E32" s="117" t="n">
        <v>0.304</v>
      </c>
      <c r="F32" s="117" t="n">
        <v>0.289</v>
      </c>
      <c r="G32" s="117" t="n">
        <v>0.274</v>
      </c>
      <c r="H32" s="117" t="n">
        <v>0.259</v>
      </c>
      <c r="I32" s="117" t="n">
        <v>0.244</v>
      </c>
    </row>
  </sheetData>
  <mergeCells count="2">
    <mergeCell ref="B5:I5"/>
    <mergeCell ref="B22:I22"/>
  </mergeCells>
  <conditionalFormatting sqref="C24:I32">
    <cfRule type="colorScale" priority="2">
      <colorScale>
        <cfvo type="min" val="0"/>
        <cfvo type="percentile" val="50"/>
        <cfvo type="max" val="0"/>
        <color rgb="FFF4CCCC"/>
        <color rgb="FFFFFFFF"/>
        <color rgb="FFC6EFCE"/>
      </colorScale>
    </cfRule>
  </conditionalFormatting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G3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0"/>
    <col collapsed="false" customWidth="true" hidden="false" outlineLevel="0" max="9" min="3" style="1" width="15"/>
  </cols>
  <sheetData>
    <row r="2" customFormat="false" ht="24" hidden="false" customHeight="true" outlineLevel="0" collapsed="false">
      <c r="B2" s="93" t="s">
        <v>572</v>
      </c>
    </row>
    <row r="3" customFormat="false" ht="15" hidden="false" customHeight="true" outlineLevel="0" collapsed="false">
      <c r="B3" s="94" t="s">
        <v>573</v>
      </c>
    </row>
    <row r="5" customFormat="false" ht="21.75" hidden="false" customHeight="true" outlineLevel="0" collapsed="false">
      <c r="B5" s="111" t="s">
        <v>574</v>
      </c>
      <c r="C5" s="111"/>
      <c r="D5" s="111"/>
      <c r="E5" s="111"/>
      <c r="F5" s="111"/>
      <c r="G5" s="111"/>
    </row>
    <row r="6" customFormat="false" ht="15" hidden="false" customHeight="true" outlineLevel="0" collapsed="false">
      <c r="B6" s="57" t="s">
        <v>504</v>
      </c>
      <c r="C6" s="57" t="s">
        <v>284</v>
      </c>
      <c r="D6" s="57" t="s">
        <v>575</v>
      </c>
      <c r="E6" s="57" t="s">
        <v>576</v>
      </c>
      <c r="F6" s="57" t="s">
        <v>577</v>
      </c>
      <c r="G6" s="57" t="s">
        <v>548</v>
      </c>
    </row>
    <row r="7" customFormat="false" ht="15" hidden="false" customHeight="true" outlineLevel="0" collapsed="false">
      <c r="B7" s="35" t="s">
        <v>578</v>
      </c>
      <c r="C7" s="63" t="s">
        <v>456</v>
      </c>
      <c r="D7" s="118" t="n">
        <v>0.148</v>
      </c>
      <c r="E7" s="119" t="n">
        <v>0.205</v>
      </c>
      <c r="F7" s="118" t="n">
        <v>0.271</v>
      </c>
      <c r="G7" s="120" t="n">
        <f aca="false">F7-D7</f>
        <v>0.123</v>
      </c>
    </row>
    <row r="8" customFormat="false" ht="15" hidden="false" customHeight="true" outlineLevel="0" collapsed="false">
      <c r="B8" s="35" t="s">
        <v>579</v>
      </c>
      <c r="C8" s="63" t="s">
        <v>456</v>
      </c>
      <c r="D8" s="118" t="n">
        <v>0.108</v>
      </c>
      <c r="E8" s="119" t="n">
        <v>0.155</v>
      </c>
      <c r="F8" s="118" t="n">
        <v>0.205</v>
      </c>
      <c r="G8" s="120" t="n">
        <f aca="false">F8-D8</f>
        <v>0.097</v>
      </c>
    </row>
    <row r="9" customFormat="false" ht="15" hidden="false" customHeight="true" outlineLevel="0" collapsed="false">
      <c r="B9" s="35" t="s">
        <v>12</v>
      </c>
      <c r="C9" s="63" t="s">
        <v>351</v>
      </c>
      <c r="D9" s="121" t="n">
        <v>420</v>
      </c>
      <c r="E9" s="122" t="n">
        <v>1080</v>
      </c>
      <c r="F9" s="121" t="n">
        <v>1850</v>
      </c>
      <c r="G9" s="123" t="n">
        <f aca="false">F9-D9</f>
        <v>1430</v>
      </c>
    </row>
    <row r="10" customFormat="false" ht="15" hidden="false" customHeight="true" outlineLevel="0" collapsed="false">
      <c r="B10" s="35" t="s">
        <v>580</v>
      </c>
      <c r="C10" s="63" t="s">
        <v>489</v>
      </c>
      <c r="D10" s="124" t="n">
        <v>1.9</v>
      </c>
      <c r="E10" s="125" t="n">
        <v>2.4</v>
      </c>
      <c r="F10" s="124" t="n">
        <v>3.1</v>
      </c>
      <c r="G10" s="126" t="n">
        <f aca="false">F10-D10</f>
        <v>1.2</v>
      </c>
    </row>
    <row r="11" customFormat="false" ht="15" hidden="false" customHeight="true" outlineLevel="0" collapsed="false">
      <c r="B11" s="35" t="s">
        <v>510</v>
      </c>
      <c r="C11" s="63" t="s">
        <v>489</v>
      </c>
      <c r="D11" s="124" t="n">
        <v>1.32</v>
      </c>
      <c r="E11" s="125" t="n">
        <v>1.62</v>
      </c>
      <c r="F11" s="124" t="n">
        <v>1.98</v>
      </c>
      <c r="G11" s="126" t="n">
        <f aca="false">F11-D11</f>
        <v>0.66</v>
      </c>
    </row>
    <row r="12" customFormat="false" ht="15" hidden="false" customHeight="true" outlineLevel="0" collapsed="false">
      <c r="B12" s="35" t="s">
        <v>521</v>
      </c>
      <c r="C12" s="63" t="s">
        <v>489</v>
      </c>
      <c r="D12" s="124" t="n">
        <v>1.18</v>
      </c>
      <c r="E12" s="125" t="n">
        <v>1.41</v>
      </c>
      <c r="F12" s="124" t="n">
        <v>1.72</v>
      </c>
      <c r="G12" s="126" t="n">
        <f aca="false">F12-D12</f>
        <v>0.54</v>
      </c>
    </row>
    <row r="13" customFormat="false" ht="15" hidden="false" customHeight="true" outlineLevel="0" collapsed="false">
      <c r="B13" s="35" t="s">
        <v>581</v>
      </c>
      <c r="C13" s="63" t="s">
        <v>203</v>
      </c>
      <c r="D13" s="127" t="n">
        <v>62</v>
      </c>
      <c r="E13" s="128" t="n">
        <v>52</v>
      </c>
      <c r="F13" s="127" t="n">
        <v>42</v>
      </c>
      <c r="G13" s="129" t="n">
        <f aca="false">F13-D13</f>
        <v>-20</v>
      </c>
    </row>
    <row r="14" customFormat="false" ht="15" hidden="false" customHeight="true" outlineLevel="0" collapsed="false">
      <c r="B14" s="35" t="s">
        <v>582</v>
      </c>
      <c r="C14" s="63" t="s">
        <v>515</v>
      </c>
      <c r="D14" s="130" t="n">
        <v>10</v>
      </c>
      <c r="E14" s="131" t="n">
        <v>8</v>
      </c>
      <c r="F14" s="130" t="n">
        <v>6</v>
      </c>
      <c r="G14" s="132" t="n">
        <f aca="false">F14-D14</f>
        <v>-4</v>
      </c>
    </row>
    <row r="15" customFormat="false" ht="15" hidden="false" customHeight="true" outlineLevel="0" collapsed="false">
      <c r="B15" s="35" t="s">
        <v>583</v>
      </c>
      <c r="C15" s="63" t="s">
        <v>351</v>
      </c>
      <c r="D15" s="121" t="n">
        <v>8500</v>
      </c>
      <c r="E15" s="122" t="n">
        <v>11500</v>
      </c>
      <c r="F15" s="121" t="n">
        <v>15800</v>
      </c>
      <c r="G15" s="123" t="n">
        <f aca="false">F15-D15</f>
        <v>7300</v>
      </c>
    </row>
    <row r="16" customFormat="false" ht="15" hidden="false" customHeight="true" outlineLevel="0" collapsed="false">
      <c r="B16" s="35" t="s">
        <v>7</v>
      </c>
      <c r="C16" s="63" t="s">
        <v>351</v>
      </c>
      <c r="D16" s="121" t="n">
        <v>4700</v>
      </c>
      <c r="E16" s="122" t="n">
        <v>4200</v>
      </c>
      <c r="F16" s="121" t="n">
        <v>3990</v>
      </c>
      <c r="G16" s="123" t="n">
        <f aca="false">F16-D16</f>
        <v>-710</v>
      </c>
    </row>
    <row r="19" customFormat="false" ht="21.75" hidden="false" customHeight="true" outlineLevel="0" collapsed="false">
      <c r="B19" s="111" t="s">
        <v>584</v>
      </c>
      <c r="C19" s="111"/>
      <c r="D19" s="111"/>
      <c r="E19" s="111"/>
      <c r="F19" s="111"/>
      <c r="G19" s="111"/>
    </row>
    <row r="20" customFormat="false" ht="30" hidden="false" customHeight="true" outlineLevel="0" collapsed="false">
      <c r="B20" s="133" t="s">
        <v>504</v>
      </c>
      <c r="C20" s="133" t="s">
        <v>284</v>
      </c>
      <c r="D20" s="133" t="s">
        <v>585</v>
      </c>
      <c r="E20" s="133" t="s">
        <v>586</v>
      </c>
      <c r="F20" s="133" t="s">
        <v>587</v>
      </c>
      <c r="G20" s="133" t="s">
        <v>588</v>
      </c>
    </row>
    <row r="21" customFormat="false" ht="15" hidden="false" customHeight="true" outlineLevel="0" collapsed="false">
      <c r="B21" s="35" t="s">
        <v>7</v>
      </c>
      <c r="C21" s="63" t="s">
        <v>351</v>
      </c>
      <c r="D21" s="134" t="s">
        <v>589</v>
      </c>
      <c r="E21" s="135" t="s">
        <v>590</v>
      </c>
      <c r="F21" s="134" t="s">
        <v>591</v>
      </c>
      <c r="G21" s="136" t="s">
        <v>592</v>
      </c>
    </row>
    <row r="22" customFormat="false" ht="15" hidden="false" customHeight="true" outlineLevel="0" collapsed="false">
      <c r="B22" s="35" t="s">
        <v>593</v>
      </c>
      <c r="C22" s="63" t="s">
        <v>594</v>
      </c>
      <c r="D22" s="134" t="s">
        <v>595</v>
      </c>
      <c r="E22" s="135" t="s">
        <v>596</v>
      </c>
      <c r="F22" s="134" t="s">
        <v>597</v>
      </c>
      <c r="G22" s="136" t="s">
        <v>598</v>
      </c>
    </row>
    <row r="23" customFormat="false" ht="15" hidden="false" customHeight="true" outlineLevel="0" collapsed="false">
      <c r="B23" s="35" t="s">
        <v>578</v>
      </c>
      <c r="C23" s="63" t="s">
        <v>456</v>
      </c>
      <c r="D23" s="134" t="s">
        <v>599</v>
      </c>
      <c r="E23" s="135" t="s">
        <v>600</v>
      </c>
      <c r="F23" s="134" t="s">
        <v>601</v>
      </c>
      <c r="G23" s="136" t="s">
        <v>602</v>
      </c>
    </row>
    <row r="24" customFormat="false" ht="15" hidden="false" customHeight="true" outlineLevel="0" collapsed="false">
      <c r="B24" s="35" t="s">
        <v>603</v>
      </c>
      <c r="C24" s="63" t="s">
        <v>489</v>
      </c>
      <c r="D24" s="134" t="s">
        <v>604</v>
      </c>
      <c r="E24" s="135" t="s">
        <v>605</v>
      </c>
      <c r="F24" s="134" t="s">
        <v>606</v>
      </c>
      <c r="G24" s="136" t="s">
        <v>602</v>
      </c>
    </row>
    <row r="25" customFormat="false" ht="15" hidden="false" customHeight="true" outlineLevel="0" collapsed="false">
      <c r="B25" s="35" t="s">
        <v>514</v>
      </c>
      <c r="C25" s="63" t="s">
        <v>515</v>
      </c>
      <c r="D25" s="134" t="s">
        <v>607</v>
      </c>
      <c r="E25" s="135" t="s">
        <v>608</v>
      </c>
      <c r="F25" s="134" t="s">
        <v>609</v>
      </c>
      <c r="G25" s="136" t="s">
        <v>602</v>
      </c>
    </row>
    <row r="26" customFormat="false" ht="15" hidden="false" customHeight="true" outlineLevel="0" collapsed="false">
      <c r="B26" s="35" t="s">
        <v>610</v>
      </c>
      <c r="C26" s="63" t="s">
        <v>611</v>
      </c>
      <c r="D26" s="134" t="s">
        <v>612</v>
      </c>
      <c r="E26" s="135" t="s">
        <v>613</v>
      </c>
      <c r="F26" s="134" t="s">
        <v>614</v>
      </c>
      <c r="G26" s="136" t="s">
        <v>615</v>
      </c>
    </row>
    <row r="27" customFormat="false" ht="15" hidden="false" customHeight="true" outlineLevel="0" collapsed="false">
      <c r="B27" s="35" t="s">
        <v>616</v>
      </c>
      <c r="C27" s="63" t="s">
        <v>611</v>
      </c>
      <c r="D27" s="134" t="s">
        <v>617</v>
      </c>
      <c r="E27" s="135" t="s">
        <v>618</v>
      </c>
      <c r="F27" s="134" t="s">
        <v>612</v>
      </c>
      <c r="G27" s="136" t="s">
        <v>602</v>
      </c>
    </row>
    <row r="28" customFormat="false" ht="15" hidden="false" customHeight="true" outlineLevel="0" collapsed="false">
      <c r="B28" s="35" t="s">
        <v>619</v>
      </c>
      <c r="C28" s="63" t="s">
        <v>556</v>
      </c>
      <c r="D28" s="134" t="s">
        <v>620</v>
      </c>
      <c r="E28" s="135" t="s">
        <v>621</v>
      </c>
      <c r="F28" s="134" t="s">
        <v>622</v>
      </c>
      <c r="G28" s="136" t="s">
        <v>602</v>
      </c>
    </row>
    <row r="29" customFormat="false" ht="15" hidden="false" customHeight="true" outlineLevel="0" collapsed="false">
      <c r="B29" s="35" t="s">
        <v>581</v>
      </c>
      <c r="C29" s="63" t="s">
        <v>203</v>
      </c>
      <c r="D29" s="134" t="s">
        <v>623</v>
      </c>
      <c r="E29" s="135" t="s">
        <v>624</v>
      </c>
      <c r="F29" s="134" t="s">
        <v>625</v>
      </c>
      <c r="G29" s="136" t="s">
        <v>626</v>
      </c>
    </row>
    <row r="30" customFormat="false" ht="15" hidden="false" customHeight="true" outlineLevel="0" collapsed="false">
      <c r="B30" s="35" t="s">
        <v>627</v>
      </c>
      <c r="C30" s="63" t="s">
        <v>611</v>
      </c>
      <c r="D30" s="134" t="s">
        <v>628</v>
      </c>
      <c r="E30" s="135" t="s">
        <v>617</v>
      </c>
      <c r="F30" s="134" t="s">
        <v>629</v>
      </c>
      <c r="G30" s="136" t="s">
        <v>630</v>
      </c>
    </row>
  </sheetData>
  <mergeCells count="2">
    <mergeCell ref="B5:G5"/>
    <mergeCell ref="B19:G1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46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2"/>
    <col collapsed="false" customWidth="true" hidden="false" outlineLevel="0" max="3" min="3" style="1" width="12"/>
    <col collapsed="false" customWidth="true" hidden="false" outlineLevel="0" max="4" min="4" style="1" width="14"/>
    <col collapsed="false" customWidth="true" hidden="false" outlineLevel="0" max="5" min="5" style="1" width="50"/>
  </cols>
  <sheetData>
    <row r="2" customFormat="false" ht="24" hidden="false" customHeight="true" outlineLevel="0" collapsed="false">
      <c r="B2" s="93" t="s">
        <v>631</v>
      </c>
    </row>
    <row r="3" customFormat="false" ht="15" hidden="false" customHeight="true" outlineLevel="0" collapsed="false">
      <c r="B3" s="94" t="s">
        <v>632</v>
      </c>
    </row>
    <row r="5" customFormat="false" ht="21.75" hidden="false" customHeight="true" outlineLevel="0" collapsed="false">
      <c r="B5" s="57" t="s">
        <v>633</v>
      </c>
      <c r="C5" s="57" t="s">
        <v>634</v>
      </c>
      <c r="D5" s="57" t="s">
        <v>635</v>
      </c>
      <c r="E5" s="57" t="s">
        <v>636</v>
      </c>
    </row>
    <row r="6" customFormat="false" ht="15" hidden="false" customHeight="true" outlineLevel="0" collapsed="false">
      <c r="B6" s="62" t="s">
        <v>637</v>
      </c>
      <c r="C6" s="63" t="s">
        <v>638</v>
      </c>
      <c r="D6" s="137" t="s">
        <v>639</v>
      </c>
      <c r="E6" s="38" t="s">
        <v>640</v>
      </c>
    </row>
    <row r="7" customFormat="false" ht="15" hidden="false" customHeight="true" outlineLevel="0" collapsed="false">
      <c r="B7" s="62" t="s">
        <v>641</v>
      </c>
      <c r="C7" s="63" t="s">
        <v>642</v>
      </c>
      <c r="D7" s="137" t="s">
        <v>643</v>
      </c>
      <c r="E7" s="38" t="s">
        <v>644</v>
      </c>
    </row>
    <row r="8" customFormat="false" ht="15" hidden="false" customHeight="true" outlineLevel="0" collapsed="false">
      <c r="B8" s="138" t="s">
        <v>645</v>
      </c>
      <c r="C8" s="96" t="s">
        <v>638</v>
      </c>
      <c r="D8" s="139" t="s">
        <v>646</v>
      </c>
      <c r="E8" s="140" t="s">
        <v>647</v>
      </c>
    </row>
    <row r="9" customFormat="false" ht="15" hidden="false" customHeight="true" outlineLevel="0" collapsed="false">
      <c r="B9" s="138" t="s">
        <v>648</v>
      </c>
      <c r="C9" s="96" t="s">
        <v>638</v>
      </c>
      <c r="D9" s="139" t="s">
        <v>639</v>
      </c>
      <c r="E9" s="140" t="s">
        <v>649</v>
      </c>
    </row>
    <row r="11" customFormat="false" ht="15" hidden="false" customHeight="true" outlineLevel="0" collapsed="false">
      <c r="B11" s="62" t="s">
        <v>650</v>
      </c>
      <c r="C11" s="63" t="s">
        <v>651</v>
      </c>
      <c r="D11" s="137" t="s">
        <v>652</v>
      </c>
      <c r="E11" s="38" t="s">
        <v>653</v>
      </c>
    </row>
    <row r="13" customFormat="false" ht="15" hidden="false" customHeight="true" outlineLevel="0" collapsed="false">
      <c r="B13" s="62" t="s">
        <v>654</v>
      </c>
      <c r="C13" s="63" t="s">
        <v>655</v>
      </c>
      <c r="D13" s="137" t="s">
        <v>656</v>
      </c>
      <c r="E13" s="38" t="s">
        <v>657</v>
      </c>
    </row>
    <row r="14" customFormat="false" ht="15" hidden="false" customHeight="true" outlineLevel="0" collapsed="false">
      <c r="B14" s="62" t="s">
        <v>658</v>
      </c>
      <c r="C14" s="63" t="s">
        <v>638</v>
      </c>
      <c r="D14" s="137" t="s">
        <v>659</v>
      </c>
      <c r="E14" s="38" t="s">
        <v>660</v>
      </c>
    </row>
    <row r="15" customFormat="false" ht="15" hidden="false" customHeight="true" outlineLevel="0" collapsed="false">
      <c r="B15" s="62" t="s">
        <v>661</v>
      </c>
      <c r="C15" s="63" t="s">
        <v>638</v>
      </c>
      <c r="D15" s="137" t="s">
        <v>662</v>
      </c>
      <c r="E15" s="38" t="s">
        <v>663</v>
      </c>
    </row>
    <row r="16" customFormat="false" ht="15" hidden="false" customHeight="true" outlineLevel="0" collapsed="false">
      <c r="B16" s="35" t="s">
        <v>664</v>
      </c>
      <c r="C16" s="63" t="s">
        <v>638</v>
      </c>
      <c r="D16" s="137" t="s">
        <v>665</v>
      </c>
      <c r="E16" s="38" t="s">
        <v>666</v>
      </c>
    </row>
    <row r="18" customFormat="false" ht="15" hidden="false" customHeight="true" outlineLevel="0" collapsed="false">
      <c r="B18" s="62" t="s">
        <v>667</v>
      </c>
      <c r="C18" s="63" t="s">
        <v>668</v>
      </c>
      <c r="D18" s="137" t="s">
        <v>669</v>
      </c>
      <c r="E18" s="38" t="s">
        <v>670</v>
      </c>
    </row>
    <row r="19" customFormat="false" ht="15" hidden="false" customHeight="true" outlineLevel="0" collapsed="false">
      <c r="B19" s="62" t="s">
        <v>671</v>
      </c>
      <c r="C19" s="63" t="s">
        <v>672</v>
      </c>
      <c r="D19" s="137" t="s">
        <v>542</v>
      </c>
      <c r="E19" s="38" t="s">
        <v>673</v>
      </c>
    </row>
    <row r="21" customFormat="false" ht="15" hidden="false" customHeight="true" outlineLevel="0" collapsed="false">
      <c r="B21" s="62" t="s">
        <v>674</v>
      </c>
      <c r="C21" s="63" t="s">
        <v>675</v>
      </c>
      <c r="D21" s="137" t="s">
        <v>676</v>
      </c>
      <c r="E21" s="38" t="s">
        <v>677</v>
      </c>
    </row>
    <row r="23" customFormat="false" ht="15" hidden="false" customHeight="true" outlineLevel="0" collapsed="false">
      <c r="B23" s="62" t="s">
        <v>678</v>
      </c>
      <c r="C23" s="63" t="s">
        <v>679</v>
      </c>
      <c r="D23" s="137" t="s">
        <v>680</v>
      </c>
      <c r="E23" s="38" t="s">
        <v>681</v>
      </c>
    </row>
    <row r="24" customFormat="false" ht="15" hidden="false" customHeight="true" outlineLevel="0" collapsed="false">
      <c r="B24" s="62" t="s">
        <v>682</v>
      </c>
      <c r="C24" s="63" t="s">
        <v>683</v>
      </c>
      <c r="D24" s="137" t="s">
        <v>680</v>
      </c>
      <c r="E24" s="38" t="s">
        <v>684</v>
      </c>
    </row>
    <row r="25" customFormat="false" ht="15" hidden="false" customHeight="true" outlineLevel="0" collapsed="false">
      <c r="B25" s="62" t="s">
        <v>685</v>
      </c>
      <c r="C25" s="63" t="s">
        <v>686</v>
      </c>
      <c r="D25" s="137" t="s">
        <v>687</v>
      </c>
      <c r="E25" s="38" t="s">
        <v>688</v>
      </c>
    </row>
    <row r="27" customFormat="false" ht="15" hidden="false" customHeight="true" outlineLevel="0" collapsed="false">
      <c r="B27" s="138" t="s">
        <v>689</v>
      </c>
      <c r="C27" s="96" t="s">
        <v>611</v>
      </c>
      <c r="D27" s="139" t="s">
        <v>690</v>
      </c>
      <c r="E27" s="140" t="s">
        <v>691</v>
      </c>
    </row>
    <row r="28" customFormat="false" ht="15" hidden="false" customHeight="true" outlineLevel="0" collapsed="false">
      <c r="B28" s="138" t="s">
        <v>692</v>
      </c>
      <c r="C28" s="96" t="s">
        <v>611</v>
      </c>
      <c r="D28" s="139" t="s">
        <v>693</v>
      </c>
      <c r="E28" s="140" t="s">
        <v>694</v>
      </c>
    </row>
    <row r="33" customFormat="false" ht="15" hidden="false" customHeight="true" outlineLevel="0" collapsed="false">
      <c r="B33" s="111" t="s">
        <v>695</v>
      </c>
      <c r="C33" s="111"/>
      <c r="D33" s="111"/>
      <c r="E33" s="111"/>
    </row>
    <row r="34" customFormat="false" ht="15" hidden="false" customHeight="true" outlineLevel="0" collapsed="false">
      <c r="B34" s="141" t="s">
        <v>133</v>
      </c>
      <c r="C34" s="141" t="s">
        <v>696</v>
      </c>
      <c r="D34" s="141" t="s">
        <v>697</v>
      </c>
      <c r="E34" s="141" t="s">
        <v>698</v>
      </c>
    </row>
    <row r="35" customFormat="false" ht="15" hidden="false" customHeight="true" outlineLevel="0" collapsed="false">
      <c r="B35" s="134" t="s">
        <v>699</v>
      </c>
      <c r="C35" s="142" t="n">
        <f aca="false">'07_PnL'!D29</f>
        <v>-369.4223967375</v>
      </c>
      <c r="D35" s="143" t="n">
        <f aca="false">MAX(C35,0)*0.25*0.75</f>
        <v>0</v>
      </c>
      <c r="E35" s="83" t="s">
        <v>700</v>
      </c>
    </row>
    <row r="36" customFormat="false" ht="15" hidden="false" customHeight="true" outlineLevel="0" collapsed="false">
      <c r="B36" s="134" t="s">
        <v>701</v>
      </c>
      <c r="C36" s="142" t="n">
        <f aca="false">'07_PnL'!E29</f>
        <v>-368.3341021101</v>
      </c>
      <c r="D36" s="143" t="n">
        <f aca="false">MAX(C36,0)*0.25*0.75</f>
        <v>0</v>
      </c>
      <c r="E36" s="83" t="s">
        <v>700</v>
      </c>
    </row>
    <row r="37" customFormat="false" ht="15" hidden="false" customHeight="true" outlineLevel="0" collapsed="false">
      <c r="B37" s="134" t="s">
        <v>702</v>
      </c>
      <c r="C37" s="142" t="n">
        <f aca="false">'07_PnL'!F29</f>
        <v>987.240484051146</v>
      </c>
      <c r="D37" s="143" t="n">
        <f aca="false">MAX(C37,0)*0.25*0.75</f>
        <v>185.10759075959</v>
      </c>
      <c r="E37" s="83" t="s">
        <v>700</v>
      </c>
    </row>
    <row r="38" customFormat="false" ht="15" hidden="false" customHeight="true" outlineLevel="0" collapsed="false">
      <c r="B38" s="134" t="s">
        <v>703</v>
      </c>
      <c r="C38" s="142" t="n">
        <f aca="false">'07_PnL'!G29</f>
        <v>1022.81795520764</v>
      </c>
      <c r="D38" s="143" t="n">
        <f aca="false">MAX(C38,0)*0.25*0.75</f>
        <v>191.778366601433</v>
      </c>
      <c r="E38" s="83" t="s">
        <v>700</v>
      </c>
    </row>
    <row r="39" customFormat="false" ht="15" hidden="false" customHeight="true" outlineLevel="0" collapsed="false">
      <c r="B39" s="134" t="s">
        <v>704</v>
      </c>
      <c r="C39" s="142" t="n">
        <f aca="false">'07_PnL'!H29</f>
        <v>1091.86920562312</v>
      </c>
      <c r="D39" s="143" t="n">
        <f aca="false">MAX(C39,0)*0.25*0.75</f>
        <v>204.725476054335</v>
      </c>
      <c r="E39" s="83" t="s">
        <v>700</v>
      </c>
    </row>
    <row r="40" customFormat="false" ht="15" hidden="false" customHeight="true" outlineLevel="0" collapsed="false">
      <c r="B40" s="134" t="s">
        <v>705</v>
      </c>
      <c r="C40" s="142" t="n">
        <f aca="false">'07_PnL'!I29</f>
        <v>1130.68144851199</v>
      </c>
      <c r="D40" s="143" t="n">
        <f aca="false">MAX(C40,0)*0.25*0.75</f>
        <v>212.002771595999</v>
      </c>
      <c r="E40" s="83" t="s">
        <v>700</v>
      </c>
    </row>
    <row r="41" customFormat="false" ht="15" hidden="false" customHeight="true" outlineLevel="0" collapsed="false">
      <c r="B41" s="134" t="s">
        <v>706</v>
      </c>
      <c r="C41" s="142" t="n">
        <f aca="false">'07_PnL'!J29</f>
        <v>1170.92786486654</v>
      </c>
      <c r="D41" s="143" t="n">
        <f aca="false">MAX(C41,0)*0.25*0.75</f>
        <v>219.548974662475</v>
      </c>
      <c r="E41" s="83" t="s">
        <v>700</v>
      </c>
    </row>
    <row r="42" customFormat="false" ht="15" hidden="false" customHeight="true" outlineLevel="0" collapsed="false">
      <c r="B42" s="134" t="s">
        <v>707</v>
      </c>
      <c r="C42" s="142" t="n">
        <f aca="false">'07_PnL'!K29</f>
        <v>1212.70279205388</v>
      </c>
      <c r="D42" s="143" t="n">
        <f aca="false">MAX(C42,0)*0.25*0.75</f>
        <v>227.381773510103</v>
      </c>
      <c r="E42" s="83" t="s">
        <v>700</v>
      </c>
    </row>
    <row r="43" customFormat="false" ht="15" hidden="false" customHeight="true" outlineLevel="0" collapsed="false">
      <c r="B43" s="134" t="s">
        <v>708</v>
      </c>
      <c r="C43" s="142" t="n">
        <f aca="false">'07_PnL'!L29</f>
        <v>1256.10901796888</v>
      </c>
      <c r="D43" s="143" t="n">
        <f aca="false">MAX(C43,0)*0.25*0.75</f>
        <v>235.520440869165</v>
      </c>
      <c r="E43" s="83" t="s">
        <v>700</v>
      </c>
    </row>
    <row r="44" customFormat="false" ht="15" hidden="false" customHeight="true" outlineLevel="0" collapsed="false">
      <c r="B44" s="134" t="s">
        <v>709</v>
      </c>
      <c r="C44" s="142" t="n">
        <f aca="false">'07_PnL'!M29</f>
        <v>1301.25861318092</v>
      </c>
      <c r="D44" s="143" t="n">
        <f aca="false">MAX(C44,0)*0.25*0.75</f>
        <v>243.985989971422</v>
      </c>
      <c r="E44" s="83" t="s">
        <v>700</v>
      </c>
    </row>
    <row r="46" customFormat="false" ht="15" hidden="false" customHeight="true" outlineLevel="0" collapsed="false">
      <c r="B46" s="144" t="s">
        <v>710</v>
      </c>
      <c r="D46" s="145" t="n">
        <f aca="false">SUM(D35:D44)</f>
        <v>1720.05138402452</v>
      </c>
      <c r="E46" s="146" t="s">
        <v>711</v>
      </c>
    </row>
  </sheetData>
  <mergeCells count="1">
    <mergeCell ref="B33:E3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AG32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3" ySplit="7" topLeftCell="D8" activePane="bottomRight" state="frozen"/>
      <selection pane="topLeft" activeCell="A1" activeCellId="0" sqref="A1"/>
      <selection pane="topRight" activeCell="D1" activeCellId="0" sqref="D1"/>
      <selection pane="bottomLeft" activeCell="A8" activeCellId="0" sqref="A8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42"/>
    <col collapsed="false" customWidth="true" hidden="false" outlineLevel="0" max="3" min="3" style="1" width="12"/>
    <col collapsed="false" customWidth="true" hidden="false" outlineLevel="0" max="33" min="4" style="1" width="11"/>
  </cols>
  <sheetData>
    <row r="2" customFormat="false" ht="24" hidden="false" customHeight="true" outlineLevel="0" collapsed="false">
      <c r="B2" s="93" t="s">
        <v>712</v>
      </c>
    </row>
    <row r="3" customFormat="false" ht="15" hidden="false" customHeight="true" outlineLevel="0" collapsed="false">
      <c r="B3" s="94" t="s">
        <v>713</v>
      </c>
    </row>
    <row r="5" customFormat="false" ht="15" hidden="false" customHeight="true" outlineLevel="0" collapsed="false">
      <c r="B5" s="141" t="s">
        <v>714</v>
      </c>
      <c r="C5" s="141" t="s">
        <v>284</v>
      </c>
      <c r="D5" s="58" t="s">
        <v>285</v>
      </c>
      <c r="E5" s="58" t="s">
        <v>286</v>
      </c>
      <c r="F5" s="58" t="s">
        <v>287</v>
      </c>
      <c r="G5" s="58" t="s">
        <v>288</v>
      </c>
      <c r="H5" s="58" t="s">
        <v>289</v>
      </c>
      <c r="I5" s="58" t="s">
        <v>290</v>
      </c>
      <c r="J5" s="58" t="s">
        <v>291</v>
      </c>
      <c r="K5" s="58" t="s">
        <v>292</v>
      </c>
      <c r="L5" s="58" t="s">
        <v>293</v>
      </c>
      <c r="M5" s="58" t="s">
        <v>294</v>
      </c>
      <c r="N5" s="58" t="s">
        <v>295</v>
      </c>
      <c r="O5" s="58" t="s">
        <v>296</v>
      </c>
      <c r="P5" s="58" t="s">
        <v>297</v>
      </c>
      <c r="Q5" s="58" t="s">
        <v>298</v>
      </c>
      <c r="R5" s="58" t="s">
        <v>299</v>
      </c>
      <c r="S5" s="58" t="s">
        <v>300</v>
      </c>
      <c r="T5" s="58" t="s">
        <v>301</v>
      </c>
      <c r="U5" s="58" t="s">
        <v>302</v>
      </c>
      <c r="V5" s="58" t="s">
        <v>303</v>
      </c>
      <c r="W5" s="58" t="s">
        <v>304</v>
      </c>
      <c r="X5" s="58" t="s">
        <v>305</v>
      </c>
      <c r="Y5" s="58" t="s">
        <v>306</v>
      </c>
      <c r="Z5" s="58" t="s">
        <v>307</v>
      </c>
      <c r="AA5" s="58" t="s">
        <v>308</v>
      </c>
      <c r="AB5" s="58" t="s">
        <v>309</v>
      </c>
      <c r="AC5" s="58" t="s">
        <v>310</v>
      </c>
      <c r="AD5" s="58" t="s">
        <v>311</v>
      </c>
      <c r="AE5" s="58" t="s">
        <v>312</v>
      </c>
      <c r="AF5" s="58" t="s">
        <v>313</v>
      </c>
      <c r="AG5" s="58" t="s">
        <v>314</v>
      </c>
    </row>
    <row r="6" customFormat="false" ht="15" hidden="false" customHeight="true" outlineLevel="0" collapsed="false">
      <c r="D6" s="59" t="s">
        <v>315</v>
      </c>
      <c r="E6" s="59" t="s">
        <v>316</v>
      </c>
      <c r="F6" s="59" t="s">
        <v>317</v>
      </c>
      <c r="G6" s="59" t="s">
        <v>318</v>
      </c>
      <c r="H6" s="59" t="s">
        <v>319</v>
      </c>
      <c r="I6" s="59" t="s">
        <v>320</v>
      </c>
      <c r="J6" s="59" t="s">
        <v>321</v>
      </c>
      <c r="K6" s="59" t="s">
        <v>322</v>
      </c>
      <c r="L6" s="59" t="s">
        <v>323</v>
      </c>
      <c r="M6" s="59" t="s">
        <v>324</v>
      </c>
      <c r="N6" s="59" t="s">
        <v>325</v>
      </c>
      <c r="O6" s="59" t="s">
        <v>326</v>
      </c>
      <c r="P6" s="59" t="s">
        <v>327</v>
      </c>
      <c r="Q6" s="59" t="s">
        <v>328</v>
      </c>
      <c r="R6" s="59" t="s">
        <v>329</v>
      </c>
      <c r="S6" s="59" t="s">
        <v>330</v>
      </c>
      <c r="T6" s="59" t="s">
        <v>331</v>
      </c>
      <c r="U6" s="59" t="s">
        <v>332</v>
      </c>
      <c r="V6" s="59" t="s">
        <v>333</v>
      </c>
      <c r="W6" s="59" t="s">
        <v>334</v>
      </c>
      <c r="X6" s="59" t="s">
        <v>335</v>
      </c>
      <c r="Y6" s="59" t="s">
        <v>336</v>
      </c>
      <c r="Z6" s="59" t="s">
        <v>337</v>
      </c>
      <c r="AA6" s="59" t="s">
        <v>338</v>
      </c>
      <c r="AB6" s="59" t="s">
        <v>339</v>
      </c>
      <c r="AC6" s="59" t="s">
        <v>340</v>
      </c>
      <c r="AD6" s="59" t="s">
        <v>341</v>
      </c>
      <c r="AE6" s="59" t="s">
        <v>342</v>
      </c>
      <c r="AF6" s="59" t="s">
        <v>343</v>
      </c>
      <c r="AG6" s="59" t="s">
        <v>344</v>
      </c>
    </row>
    <row r="7" customFormat="false" ht="15" hidden="false" customHeight="true" outlineLevel="0" collapsed="false">
      <c r="B7" s="83" t="s">
        <v>345</v>
      </c>
      <c r="D7" s="60" t="n">
        <v>1</v>
      </c>
      <c r="E7" s="60" t="n">
        <v>2</v>
      </c>
      <c r="F7" s="60" t="n">
        <v>3</v>
      </c>
      <c r="G7" s="60" t="n">
        <v>4</v>
      </c>
      <c r="H7" s="60" t="n">
        <v>5</v>
      </c>
      <c r="I7" s="60" t="n">
        <v>6</v>
      </c>
      <c r="J7" s="60" t="n">
        <v>7</v>
      </c>
      <c r="K7" s="60" t="n">
        <v>8</v>
      </c>
      <c r="L7" s="60" t="n">
        <v>9</v>
      </c>
      <c r="M7" s="60" t="n">
        <v>10</v>
      </c>
      <c r="N7" s="60" t="n">
        <v>11</v>
      </c>
      <c r="O7" s="60" t="n">
        <v>12</v>
      </c>
      <c r="P7" s="60" t="n">
        <v>13</v>
      </c>
      <c r="Q7" s="60" t="n">
        <v>14</v>
      </c>
      <c r="R7" s="60" t="n">
        <v>15</v>
      </c>
      <c r="S7" s="60" t="n">
        <v>16</v>
      </c>
      <c r="T7" s="60" t="n">
        <v>17</v>
      </c>
      <c r="U7" s="60" t="n">
        <v>18</v>
      </c>
      <c r="V7" s="60" t="n">
        <v>19</v>
      </c>
      <c r="W7" s="60" t="n">
        <v>20</v>
      </c>
      <c r="X7" s="60" t="n">
        <v>21</v>
      </c>
      <c r="Y7" s="60" t="n">
        <v>22</v>
      </c>
      <c r="Z7" s="60" t="n">
        <v>23</v>
      </c>
      <c r="AA7" s="60" t="n">
        <v>24</v>
      </c>
      <c r="AB7" s="60" t="n">
        <v>25</v>
      </c>
      <c r="AC7" s="60" t="n">
        <v>26</v>
      </c>
      <c r="AD7" s="60" t="n">
        <v>27</v>
      </c>
      <c r="AE7" s="60" t="n">
        <v>28</v>
      </c>
      <c r="AF7" s="60" t="n">
        <v>29</v>
      </c>
      <c r="AG7" s="60" t="n">
        <v>30</v>
      </c>
    </row>
    <row r="9" customFormat="false" ht="21.75" hidden="false" customHeight="true" outlineLevel="0" collapsed="false">
      <c r="B9" s="147" t="s">
        <v>715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</row>
    <row r="10" customFormat="false" ht="15" hidden="false" customHeight="true" outlineLevel="0" collapsed="false">
      <c r="B10" s="65" t="s">
        <v>716</v>
      </c>
      <c r="C10" s="63" t="s">
        <v>351</v>
      </c>
      <c r="D10" s="148" t="n">
        <f aca="false">'05_OPEX'!D14</f>
        <v>0.1477686</v>
      </c>
      <c r="E10" s="148" t="n">
        <f aca="false">'05_OPEX'!E14</f>
        <v>0.154418187</v>
      </c>
      <c r="F10" s="148" t="n">
        <f aca="false">'05_OPEX'!F14</f>
        <v>0.161367005415</v>
      </c>
      <c r="G10" s="148" t="n">
        <f aca="false">'05_OPEX'!G14</f>
        <v>0.168628520658675</v>
      </c>
      <c r="H10" s="148" t="n">
        <f aca="false">'05_OPEX'!H14</f>
        <v>0.176216804088315</v>
      </c>
      <c r="I10" s="148" t="n">
        <f aca="false">'05_OPEX'!I14</f>
        <v>0.18414656027229</v>
      </c>
      <c r="J10" s="148" t="n">
        <f aca="false">'05_OPEX'!J14</f>
        <v>0.192433155484543</v>
      </c>
      <c r="K10" s="148" t="n">
        <f aca="false">'05_OPEX'!K14</f>
        <v>0.201092647481347</v>
      </c>
      <c r="L10" s="148" t="n">
        <f aca="false">'05_OPEX'!L14</f>
        <v>0.210141816618008</v>
      </c>
      <c r="M10" s="148" t="n">
        <f aca="false">'05_OPEX'!M14</f>
        <v>0.219598198365818</v>
      </c>
      <c r="N10" s="148" t="n">
        <f aca="false">'05_OPEX'!N14</f>
        <v>0.22948011729228</v>
      </c>
      <c r="O10" s="148" t="n">
        <f aca="false">'05_OPEX'!O14</f>
        <v>0.239806722570432</v>
      </c>
      <c r="P10" s="148" t="n">
        <f aca="false">'05_OPEX'!P14</f>
        <v>0.250598025086102</v>
      </c>
      <c r="Q10" s="148" t="n">
        <f aca="false">'05_OPEX'!Q14</f>
        <v>0.261874936214976</v>
      </c>
      <c r="R10" s="148" t="n">
        <f aca="false">'05_OPEX'!R14</f>
        <v>0.27365930834465</v>
      </c>
      <c r="S10" s="148" t="n">
        <f aca="false">'05_OPEX'!S14</f>
        <v>0.285973977220159</v>
      </c>
      <c r="T10" s="148" t="n">
        <f aca="false">'05_OPEX'!T14</f>
        <v>0.298842806195067</v>
      </c>
      <c r="U10" s="148" t="n">
        <f aca="false">'05_OPEX'!U14</f>
        <v>0.312290732473844</v>
      </c>
      <c r="V10" s="148" t="n">
        <f aca="false">'05_OPEX'!V14</f>
        <v>0.326343815435167</v>
      </c>
      <c r="W10" s="148" t="n">
        <f aca="false">'05_OPEX'!W14</f>
        <v>0.34102928712975</v>
      </c>
      <c r="X10" s="148" t="n">
        <f aca="false">'05_OPEX'!X14</f>
        <v>0.356375605050589</v>
      </c>
      <c r="Y10" s="148" t="n">
        <f aca="false">'05_OPEX'!Y14</f>
        <v>0.372412507277865</v>
      </c>
      <c r="Z10" s="148" t="n">
        <f aca="false">'05_OPEX'!Z14</f>
        <v>0.389171070105369</v>
      </c>
      <c r="AA10" s="148" t="n">
        <f aca="false">'05_OPEX'!AA14</f>
        <v>0.406683768260111</v>
      </c>
      <c r="AB10" s="148" t="n">
        <f aca="false">'05_OPEX'!AB14</f>
        <v>0.424984537831816</v>
      </c>
      <c r="AC10" s="148" t="n">
        <f aca="false">'05_OPEX'!AC14</f>
        <v>0.444108842034247</v>
      </c>
      <c r="AD10" s="148" t="n">
        <f aca="false">'05_OPEX'!AD14</f>
        <v>0.464093739925788</v>
      </c>
      <c r="AE10" s="148" t="n">
        <f aca="false">'05_OPEX'!AE14</f>
        <v>0.484977958222449</v>
      </c>
      <c r="AF10" s="148" t="n">
        <f aca="false">'05_OPEX'!AF14</f>
        <v>0.506801966342459</v>
      </c>
      <c r="AG10" s="148" t="n">
        <f aca="false">'05_OPEX'!AG14</f>
        <v>0.52960805482787</v>
      </c>
    </row>
    <row r="12" customFormat="false" ht="15" hidden="false" customHeight="true" outlineLevel="0" collapsed="false">
      <c r="B12" s="147" t="s">
        <v>717</v>
      </c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</row>
    <row r="13" customFormat="false" ht="15" hidden="false" customHeight="true" outlineLevel="0" collapsed="false">
      <c r="B13" s="65" t="s">
        <v>718</v>
      </c>
      <c r="C13" s="63" t="s">
        <v>351</v>
      </c>
      <c r="D13" s="149" t="n">
        <f aca="false">-'08_CashFlow'!D21*0.1</f>
        <v>0</v>
      </c>
      <c r="E13" s="149" t="n">
        <f aca="false">-'08_CashFlow'!E21*0.1</f>
        <v>0</v>
      </c>
      <c r="F13" s="149" t="n">
        <f aca="false">-'08_CashFlow'!F21*0.1</f>
        <v>75.2400983668418</v>
      </c>
      <c r="G13" s="149" t="n">
        <f aca="false">-'08_CashFlow'!G21*0.1</f>
        <v>77.1694731972695</v>
      </c>
      <c r="H13" s="149" t="n">
        <f aca="false">-'08_CashFlow'!H21*0.1</f>
        <v>81.4500372589803</v>
      </c>
      <c r="I13" s="149" t="n">
        <f aca="false">-'08_CashFlow'!I21*0.1</f>
        <v>83.4862377141598</v>
      </c>
      <c r="J13" s="149" t="n">
        <f aca="false">-'08_CashFlow'!J21*0.1</f>
        <v>85.5533105489062</v>
      </c>
      <c r="K13" s="149" t="n">
        <f aca="false">-'08_CashFlow'!K21*0.1</f>
        <v>87.6509949757146</v>
      </c>
      <c r="L13" s="149" t="n">
        <f aca="false">-'08_CashFlow'!L21*0.1</f>
        <v>89.7789392510584</v>
      </c>
      <c r="M13" s="149" t="n">
        <f aca="false">-'08_CashFlow'!M21*0.1</f>
        <v>91.9366902440529</v>
      </c>
      <c r="N13" s="149" t="n">
        <f aca="false">-'08_CashFlow'!N21*0.1</f>
        <v>72.6355674768232</v>
      </c>
      <c r="O13" s="149" t="n">
        <f aca="false">-'08_CashFlow'!O21*0.1</f>
        <v>74.0699419553059</v>
      </c>
      <c r="P13" s="149" t="n">
        <f aca="false">-'08_CashFlow'!P21*0.1</f>
        <v>75.4978495589492</v>
      </c>
      <c r="Q13" s="149" t="n">
        <f aca="false">-'08_CashFlow'!Q21*0.1</f>
        <v>76.9157642913003</v>
      </c>
      <c r="R13" s="149" t="n">
        <f aca="false">-'08_CashFlow'!R21*0.1</f>
        <v>66.5897505261624</v>
      </c>
      <c r="S13" s="149" t="n">
        <f aca="false">-'08_CashFlow'!S21*0.1</f>
        <v>67.9754204386751</v>
      </c>
      <c r="T13" s="149" t="n">
        <f aca="false">-'08_CashFlow'!T21*0.1</f>
        <v>81.0678870657395</v>
      </c>
      <c r="U13" s="149" t="n">
        <f aca="false">-'08_CashFlow'!U21*0.1</f>
        <v>82.4017125455703</v>
      </c>
      <c r="V13" s="149" t="n">
        <f aca="false">-'08_CashFlow'!V21*0.1</f>
        <v>103.562591612589</v>
      </c>
      <c r="W13" s="149" t="n">
        <f aca="false">-'08_CashFlow'!W21*0.1</f>
        <v>105.529390499698</v>
      </c>
      <c r="X13" s="149" t="n">
        <f aca="false">-'08_CashFlow'!X21*0.1</f>
        <v>117.884719819096</v>
      </c>
      <c r="Y13" s="149" t="n">
        <f aca="false">-'08_CashFlow'!Y21*0.1</f>
        <v>120.16649889897</v>
      </c>
      <c r="Z13" s="149" t="n">
        <f aca="false">-'08_CashFlow'!Z21*0.1</f>
        <v>122.492694399827</v>
      </c>
      <c r="AA13" s="149" t="n">
        <f aca="false">-'08_CashFlow'!AA21*0.1</f>
        <v>124.864168294365</v>
      </c>
      <c r="AB13" s="149" t="n">
        <f aca="false">-'08_CashFlow'!AB21*0.1</f>
        <v>127.281799149959</v>
      </c>
      <c r="AC13" s="149" t="n">
        <f aca="false">-'08_CashFlow'!AC21*0.1</f>
        <v>129.746482444184</v>
      </c>
      <c r="AD13" s="149" t="n">
        <f aca="false">-'08_CashFlow'!AD21*0.1</f>
        <v>132.259130886209</v>
      </c>
      <c r="AE13" s="149" t="n">
        <f aca="false">-'08_CashFlow'!AE21*0.1</f>
        <v>134.820674744161</v>
      </c>
      <c r="AF13" s="149" t="n">
        <f aca="false">-'08_CashFlow'!AF21*0.1</f>
        <v>137.432062178575</v>
      </c>
      <c r="AG13" s="149" t="n">
        <f aca="false">-'08_CashFlow'!AG21*0.1</f>
        <v>140.094259582026</v>
      </c>
    </row>
    <row r="15" customFormat="false" ht="15" hidden="false" customHeight="true" outlineLevel="0" collapsed="false">
      <c r="B15" s="147" t="s">
        <v>719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</row>
    <row r="16" customFormat="false" ht="15" hidden="false" customHeight="true" outlineLevel="0" collapsed="false">
      <c r="B16" s="65" t="s">
        <v>720</v>
      </c>
      <c r="C16" s="63" t="s">
        <v>351</v>
      </c>
      <c r="D16" s="148" t="n">
        <f aca="false">'03_Revenue'!D10*1000*0.5/'02_Assumptions'!$D$61/1000000</f>
        <v>0.214362352941176</v>
      </c>
      <c r="E16" s="148" t="n">
        <f aca="false">'03_Revenue'!E10*1000*0.5/'02_Assumptions'!$D$61/1000000</f>
        <v>0.213290541176471</v>
      </c>
      <c r="F16" s="148" t="n">
        <f aca="false">'03_Revenue'!F10*1000*0.5/'02_Assumptions'!$D$61/1000000</f>
        <v>0.533767617882353</v>
      </c>
      <c r="G16" s="148" t="n">
        <f aca="false">'03_Revenue'!G10*1000*0.5/'02_Assumptions'!$D$61/1000000</f>
        <v>0.531098779792941</v>
      </c>
      <c r="H16" s="148" t="n">
        <f aca="false">'03_Revenue'!H10*1000*0.5/'02_Assumptions'!$D$61/1000000</f>
        <v>0.528443285893977</v>
      </c>
      <c r="I16" s="148" t="n">
        <f aca="false">'03_Revenue'!I10*1000*0.5/'02_Assumptions'!$D$61/1000000</f>
        <v>0.525801069464507</v>
      </c>
      <c r="J16" s="148" t="n">
        <f aca="false">'03_Revenue'!J10*1000*0.5/'02_Assumptions'!$D$61/1000000</f>
        <v>0.523172064117184</v>
      </c>
      <c r="K16" s="148" t="n">
        <f aca="false">'03_Revenue'!K10*1000*0.5/'02_Assumptions'!$D$61/1000000</f>
        <v>0.520556203796598</v>
      </c>
      <c r="L16" s="148" t="n">
        <f aca="false">'03_Revenue'!L10*1000*0.5/'02_Assumptions'!$D$61/1000000</f>
        <v>0.517953422777615</v>
      </c>
      <c r="M16" s="148" t="n">
        <f aca="false">'03_Revenue'!M10*1000*0.5/'02_Assumptions'!$D$61/1000000</f>
        <v>0.515363655663727</v>
      </c>
      <c r="N16" s="148" t="n">
        <f aca="false">'03_Revenue'!N10*1000*0.5/'02_Assumptions'!$D$61/1000000</f>
        <v>0.512786837385408</v>
      </c>
      <c r="O16" s="148" t="n">
        <f aca="false">'03_Revenue'!O10*1000*0.5/'02_Assumptions'!$D$61/1000000</f>
        <v>0.510222903198481</v>
      </c>
      <c r="P16" s="148" t="n">
        <f aca="false">'03_Revenue'!P10*1000*0.5/'02_Assumptions'!$D$61/1000000</f>
        <v>0.507671788682489</v>
      </c>
      <c r="Q16" s="148" t="n">
        <f aca="false">'03_Revenue'!Q10*1000*0.5/'02_Assumptions'!$D$61/1000000</f>
        <v>0.505133429739077</v>
      </c>
      <c r="R16" s="148" t="n">
        <f aca="false">'03_Revenue'!R10*1000*0.5/'02_Assumptions'!$D$61/1000000</f>
        <v>0.502607762590381</v>
      </c>
      <c r="S16" s="148" t="n">
        <f aca="false">'03_Revenue'!S10*1000*0.5/'02_Assumptions'!$D$61/1000000</f>
        <v>0.500094723777429</v>
      </c>
      <c r="T16" s="148" t="n">
        <f aca="false">'03_Revenue'!T10*1000*0.5/'02_Assumptions'!$D$61/1000000</f>
        <v>0.497594250158542</v>
      </c>
      <c r="U16" s="148" t="n">
        <f aca="false">'03_Revenue'!U10*1000*0.5/'02_Assumptions'!$D$61/1000000</f>
        <v>0.495106278907749</v>
      </c>
      <c r="V16" s="148" t="n">
        <f aca="false">'03_Revenue'!V10*1000*0.5/'02_Assumptions'!$D$61/1000000</f>
        <v>0.492630747513211</v>
      </c>
      <c r="W16" s="148" t="n">
        <f aca="false">'03_Revenue'!W10*1000*0.5/'02_Assumptions'!$D$61/1000000</f>
        <v>0.490167593775645</v>
      </c>
      <c r="X16" s="148" t="n">
        <f aca="false">'03_Revenue'!X10*1000*0.5/'02_Assumptions'!$D$61/1000000</f>
        <v>0.487716755806766</v>
      </c>
      <c r="Y16" s="148" t="n">
        <f aca="false">'03_Revenue'!Y10*1000*0.5/'02_Assumptions'!$D$61/1000000</f>
        <v>0.485278172027733</v>
      </c>
      <c r="Z16" s="148" t="n">
        <f aca="false">'03_Revenue'!Z10*1000*0.5/'02_Assumptions'!$D$61/1000000</f>
        <v>0.482851781167594</v>
      </c>
      <c r="AA16" s="148" t="n">
        <f aca="false">'03_Revenue'!AA10*1000*0.5/'02_Assumptions'!$D$61/1000000</f>
        <v>0.480437522261756</v>
      </c>
      <c r="AB16" s="148" t="n">
        <f aca="false">'03_Revenue'!AB10*1000*0.5/'02_Assumptions'!$D$61/1000000</f>
        <v>0.478035334650447</v>
      </c>
      <c r="AC16" s="148" t="n">
        <f aca="false">'03_Revenue'!AC10*1000*0.5/'02_Assumptions'!$D$61/1000000</f>
        <v>0.475645157977195</v>
      </c>
      <c r="AD16" s="148" t="n">
        <f aca="false">'03_Revenue'!AD10*1000*0.5/'02_Assumptions'!$D$61/1000000</f>
        <v>0.473266932187309</v>
      </c>
      <c r="AE16" s="148" t="n">
        <f aca="false">'03_Revenue'!AE10*1000*0.5/'02_Assumptions'!$D$61/1000000</f>
        <v>0.470900597526372</v>
      </c>
      <c r="AF16" s="148" t="n">
        <f aca="false">'03_Revenue'!AF10*1000*0.5/'02_Assumptions'!$D$61/1000000</f>
        <v>0.468546094538741</v>
      </c>
      <c r="AG16" s="148" t="n">
        <f aca="false">'03_Revenue'!AG10*1000*0.5/'02_Assumptions'!$D$61/1000000</f>
        <v>0.466203364066047</v>
      </c>
    </row>
    <row r="18" customFormat="false" ht="21.75" hidden="false" customHeight="true" outlineLevel="0" collapsed="false">
      <c r="B18" s="68" t="s">
        <v>721</v>
      </c>
      <c r="C18" s="69" t="s">
        <v>351</v>
      </c>
      <c r="D18" s="70" t="n">
        <f aca="false">D10+D13+D16</f>
        <v>0.362130952941177</v>
      </c>
      <c r="E18" s="70" t="n">
        <f aca="false">E10+E13+E16</f>
        <v>0.367708728176471</v>
      </c>
      <c r="F18" s="70" t="n">
        <f aca="false">F10+F13+F16</f>
        <v>75.9352329901391</v>
      </c>
      <c r="G18" s="70" t="n">
        <f aca="false">G10+G13+G16</f>
        <v>77.8692004977211</v>
      </c>
      <c r="H18" s="70" t="n">
        <f aca="false">H10+H13+H16</f>
        <v>82.1546973489626</v>
      </c>
      <c r="I18" s="70" t="n">
        <f aca="false">I10+I13+I16</f>
        <v>84.1961853438966</v>
      </c>
      <c r="J18" s="70" t="n">
        <f aca="false">J10+J13+J16</f>
        <v>86.2689157685079</v>
      </c>
      <c r="K18" s="70" t="n">
        <f aca="false">K10+K13+K16</f>
        <v>88.3726438269925</v>
      </c>
      <c r="L18" s="70" t="n">
        <f aca="false">L10+L13+L16</f>
        <v>90.507034490454</v>
      </c>
      <c r="M18" s="70" t="n">
        <f aca="false">M10+M13+M16</f>
        <v>92.6716520980824</v>
      </c>
      <c r="N18" s="70" t="n">
        <f aca="false">N10+N13+N16</f>
        <v>73.3778344315009</v>
      </c>
      <c r="O18" s="70" t="n">
        <f aca="false">O10+O13+O16</f>
        <v>74.8199715810748</v>
      </c>
      <c r="P18" s="70" t="n">
        <f aca="false">P10+P13+P16</f>
        <v>76.2561193727178</v>
      </c>
      <c r="Q18" s="70" t="n">
        <f aca="false">Q10+Q13+Q16</f>
        <v>77.6827726572543</v>
      </c>
      <c r="R18" s="70" t="n">
        <f aca="false">R10+R13+R16</f>
        <v>67.3660175970974</v>
      </c>
      <c r="S18" s="70" t="n">
        <f aca="false">S10+S13+S16</f>
        <v>68.7614891396727</v>
      </c>
      <c r="T18" s="70" t="n">
        <f aca="false">T10+T13+T16</f>
        <v>81.8643241220931</v>
      </c>
      <c r="U18" s="70" t="n">
        <f aca="false">U10+U13+U16</f>
        <v>83.2091095569519</v>
      </c>
      <c r="V18" s="70" t="n">
        <f aca="false">V10+V13+V16</f>
        <v>104.381566175537</v>
      </c>
      <c r="W18" s="70" t="n">
        <f aca="false">W10+W13+W16</f>
        <v>106.360587380603</v>
      </c>
      <c r="X18" s="70" t="n">
        <f aca="false">X10+X13+X16</f>
        <v>118.728812179953</v>
      </c>
      <c r="Y18" s="70" t="n">
        <f aca="false">Y10+Y13+Y16</f>
        <v>121.024189578276</v>
      </c>
      <c r="Z18" s="70" t="n">
        <f aca="false">Z10+Z13+Z16</f>
        <v>123.3647172511</v>
      </c>
      <c r="AA18" s="70" t="n">
        <f aca="false">AA10+AA13+AA16</f>
        <v>125.751289584887</v>
      </c>
      <c r="AB18" s="70" t="n">
        <f aca="false">AB10+AB13+AB16</f>
        <v>128.184819022441</v>
      </c>
      <c r="AC18" s="70" t="n">
        <f aca="false">AC10+AC13+AC16</f>
        <v>130.666236444195</v>
      </c>
      <c r="AD18" s="70" t="n">
        <f aca="false">AD10+AD13+AD16</f>
        <v>133.196491558322</v>
      </c>
      <c r="AE18" s="70" t="n">
        <f aca="false">AE10+AE13+AE16</f>
        <v>135.77655329991</v>
      </c>
      <c r="AF18" s="70" t="n">
        <f aca="false">AF10+AF13+AF16</f>
        <v>138.407410239456</v>
      </c>
      <c r="AG18" s="70" t="n">
        <f aca="false">AG10+AG13+AG16</f>
        <v>141.09007100092</v>
      </c>
    </row>
    <row r="20" customFormat="false" ht="15" hidden="false" customHeight="true" outlineLevel="0" collapsed="false">
      <c r="B20" s="35" t="s">
        <v>722</v>
      </c>
      <c r="C20" s="63" t="s">
        <v>351</v>
      </c>
      <c r="D20" s="149" t="n">
        <f aca="false">D18</f>
        <v>0.362130952941177</v>
      </c>
      <c r="E20" s="149" t="n">
        <f aca="false">D20+E18</f>
        <v>0.729839681117647</v>
      </c>
      <c r="F20" s="149" t="n">
        <f aca="false">E20+F18</f>
        <v>76.6650726712568</v>
      </c>
      <c r="G20" s="149" t="n">
        <f aca="false">F20+G18</f>
        <v>154.534273168978</v>
      </c>
      <c r="H20" s="149" t="n">
        <f aca="false">G20+H18</f>
        <v>236.688970517941</v>
      </c>
      <c r="I20" s="149" t="n">
        <f aca="false">H20+I18</f>
        <v>320.885155861837</v>
      </c>
      <c r="J20" s="149" t="n">
        <f aca="false">I20+J18</f>
        <v>407.154071630345</v>
      </c>
      <c r="K20" s="149" t="n">
        <f aca="false">J20+K18</f>
        <v>495.526715457338</v>
      </c>
      <c r="L20" s="149" t="n">
        <f aca="false">K20+L18</f>
        <v>586.033749947792</v>
      </c>
      <c r="M20" s="149" t="n">
        <f aca="false">L20+M18</f>
        <v>678.705402045874</v>
      </c>
      <c r="N20" s="149" t="n">
        <f aca="false">M20+N18</f>
        <v>752.083236477375</v>
      </c>
      <c r="O20" s="149" t="n">
        <f aca="false">N20+O18</f>
        <v>826.90320805845</v>
      </c>
      <c r="P20" s="149" t="n">
        <f aca="false">O20+P18</f>
        <v>903.159327431167</v>
      </c>
      <c r="Q20" s="149" t="n">
        <f aca="false">P20+Q18</f>
        <v>980.842100088422</v>
      </c>
      <c r="R20" s="149" t="n">
        <f aca="false">Q20+R18</f>
        <v>1048.20811768552</v>
      </c>
      <c r="S20" s="149" t="n">
        <f aca="false">R20+S18</f>
        <v>1116.96960682519</v>
      </c>
      <c r="T20" s="149" t="n">
        <f aca="false">S20+T18</f>
        <v>1198.83393094729</v>
      </c>
      <c r="U20" s="149" t="n">
        <f aca="false">T20+U18</f>
        <v>1282.04304050424</v>
      </c>
      <c r="V20" s="149" t="n">
        <f aca="false">U20+V18</f>
        <v>1386.42460667977</v>
      </c>
      <c r="W20" s="149" t="n">
        <f aca="false">V20+W18</f>
        <v>1492.78519406038</v>
      </c>
      <c r="X20" s="149" t="n">
        <f aca="false">W20+X18</f>
        <v>1611.51400624033</v>
      </c>
      <c r="Y20" s="149" t="n">
        <f aca="false">X20+Y18</f>
        <v>1732.53819581861</v>
      </c>
      <c r="Z20" s="149" t="n">
        <f aca="false">Y20+Z18</f>
        <v>1855.90291306971</v>
      </c>
      <c r="AA20" s="149" t="n">
        <f aca="false">Z20+AA18</f>
        <v>1981.65420265459</v>
      </c>
      <c r="AB20" s="149" t="n">
        <f aca="false">AA20+AB18</f>
        <v>2109.83902167703</v>
      </c>
      <c r="AC20" s="149" t="n">
        <f aca="false">AB20+AC18</f>
        <v>2240.50525812123</v>
      </c>
      <c r="AD20" s="149" t="n">
        <f aca="false">AC20+AD18</f>
        <v>2373.70174967955</v>
      </c>
      <c r="AE20" s="149" t="n">
        <f aca="false">AD20+AE18</f>
        <v>2509.47830297946</v>
      </c>
      <c r="AF20" s="149" t="n">
        <f aca="false">AE20+AF18</f>
        <v>2647.88571321892</v>
      </c>
      <c r="AG20" s="149" t="n">
        <f aca="false">AF20+AG18</f>
        <v>2788.97578421984</v>
      </c>
    </row>
    <row r="23" customFormat="false" ht="21.75" hidden="false" customHeight="true" outlineLevel="0" collapsed="false">
      <c r="B23" s="111" t="s">
        <v>723</v>
      </c>
      <c r="C23" s="111"/>
      <c r="D23" s="111"/>
      <c r="E23" s="111"/>
      <c r="F23" s="111"/>
      <c r="G23" s="111"/>
    </row>
    <row r="25" customFormat="false" ht="15" hidden="false" customHeight="true" outlineLevel="0" collapsed="false">
      <c r="B25" s="35" t="s">
        <v>724</v>
      </c>
      <c r="C25" s="63" t="s">
        <v>351</v>
      </c>
      <c r="D25" s="150" t="n">
        <f aca="false">SUM(D18:AG18)</f>
        <v>2788.97578421984</v>
      </c>
    </row>
    <row r="26" customFormat="false" ht="15" hidden="false" customHeight="true" outlineLevel="0" collapsed="false">
      <c r="B26" s="35" t="s">
        <v>725</v>
      </c>
      <c r="C26" s="63" t="s">
        <v>594</v>
      </c>
      <c r="D26" s="151" t="n">
        <f aca="false">AVERAGE(D18:AG18)</f>
        <v>92.9658594739945</v>
      </c>
    </row>
    <row r="27" customFormat="false" ht="15" hidden="false" customHeight="true" outlineLevel="0" collapsed="false">
      <c r="B27" s="35" t="s">
        <v>726</v>
      </c>
      <c r="C27" s="63" t="s">
        <v>351</v>
      </c>
      <c r="D27" s="151" t="n">
        <f aca="false">MAX(D18:AG18)</f>
        <v>141.09007100092</v>
      </c>
    </row>
    <row r="28" customFormat="false" ht="15" hidden="false" customHeight="true" outlineLevel="0" collapsed="false">
      <c r="B28" s="35" t="s">
        <v>727</v>
      </c>
      <c r="C28" s="63" t="s">
        <v>351</v>
      </c>
      <c r="D28" s="150" t="n">
        <f aca="false">NPV(0.08,D18:AG18)</f>
        <v>844.713709938424</v>
      </c>
    </row>
    <row r="29" customFormat="false" ht="15" hidden="false" customHeight="true" outlineLevel="0" collapsed="false">
      <c r="B29" s="35" t="s">
        <v>728</v>
      </c>
      <c r="C29" s="63" t="s">
        <v>456</v>
      </c>
      <c r="D29" s="152" t="s">
        <v>729</v>
      </c>
    </row>
    <row r="30" customFormat="false" ht="15" hidden="false" customHeight="true" outlineLevel="0" collapsed="false">
      <c r="B30" s="35" t="s">
        <v>730</v>
      </c>
      <c r="C30" s="63" t="s">
        <v>351</v>
      </c>
      <c r="D30" s="150" t="n">
        <v>24</v>
      </c>
    </row>
    <row r="31" customFormat="false" ht="15" hidden="false" customHeight="true" outlineLevel="0" collapsed="false">
      <c r="B31" s="35" t="s">
        <v>731</v>
      </c>
      <c r="C31" s="63" t="s">
        <v>351</v>
      </c>
      <c r="D31" s="150" t="n">
        <f aca="false">NPV(0.08,D10:AG10)*1.5</f>
        <v>3.9758214687412</v>
      </c>
    </row>
    <row r="32" customFormat="false" ht="15" hidden="false" customHeight="true" outlineLevel="0" collapsed="false">
      <c r="B32" s="35" t="s">
        <v>732</v>
      </c>
      <c r="C32" s="63" t="s">
        <v>489</v>
      </c>
      <c r="D32" s="153" t="n">
        <f aca="false">D31/D30</f>
        <v>0.165659227864217</v>
      </c>
    </row>
  </sheetData>
  <mergeCells count="1">
    <mergeCell ref="B23:G2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AF11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11" min="2" style="1" width="12"/>
  </cols>
  <sheetData>
    <row r="2" customFormat="false" ht="24" hidden="false" customHeight="true" outlineLevel="0" collapsed="false">
      <c r="B2" s="31" t="s">
        <v>733</v>
      </c>
      <c r="C2" s="31"/>
      <c r="D2" s="31"/>
      <c r="E2" s="31"/>
      <c r="F2" s="31"/>
      <c r="G2" s="31"/>
      <c r="H2" s="31"/>
      <c r="I2" s="31"/>
      <c r="J2" s="31"/>
      <c r="K2" s="31"/>
    </row>
    <row r="3" customFormat="false" ht="15" hidden="false" customHeight="true" outlineLevel="0" collapsed="false">
      <c r="B3" s="32" t="s">
        <v>734</v>
      </c>
      <c r="C3" s="32"/>
      <c r="D3" s="32"/>
      <c r="E3" s="32"/>
      <c r="F3" s="32"/>
      <c r="G3" s="32"/>
      <c r="H3" s="32"/>
      <c r="I3" s="32"/>
      <c r="J3" s="32"/>
      <c r="K3" s="32"/>
    </row>
    <row r="5" customFormat="false" ht="15" hidden="false" customHeight="true" outlineLevel="0" collapsed="false">
      <c r="B5" s="154" t="s">
        <v>133</v>
      </c>
      <c r="C5" s="63" t="n">
        <v>2030</v>
      </c>
      <c r="D5" s="63" t="n">
        <v>2031</v>
      </c>
      <c r="E5" s="63" t="n">
        <v>2032</v>
      </c>
      <c r="F5" s="63" t="n">
        <v>2033</v>
      </c>
      <c r="G5" s="63" t="n">
        <v>2034</v>
      </c>
      <c r="H5" s="63" t="n">
        <v>2035</v>
      </c>
      <c r="I5" s="63" t="n">
        <v>2036</v>
      </c>
      <c r="J5" s="63" t="n">
        <v>2037</v>
      </c>
      <c r="K5" s="63" t="n">
        <v>2038</v>
      </c>
      <c r="L5" s="63" t="n">
        <v>2039</v>
      </c>
      <c r="M5" s="63" t="n">
        <v>2040</v>
      </c>
      <c r="N5" s="63" t="n">
        <v>2041</v>
      </c>
      <c r="O5" s="63" t="n">
        <v>2042</v>
      </c>
      <c r="P5" s="63" t="n">
        <v>2043</v>
      </c>
      <c r="Q5" s="63" t="n">
        <v>2044</v>
      </c>
      <c r="R5" s="63" t="n">
        <v>2045</v>
      </c>
      <c r="S5" s="63" t="n">
        <v>2046</v>
      </c>
      <c r="T5" s="63" t="n">
        <v>2047</v>
      </c>
      <c r="U5" s="63" t="n">
        <v>2048</v>
      </c>
      <c r="V5" s="63" t="n">
        <v>2049</v>
      </c>
      <c r="W5" s="63" t="n">
        <v>2050</v>
      </c>
      <c r="X5" s="63" t="n">
        <v>2051</v>
      </c>
      <c r="Y5" s="63" t="n">
        <v>2052</v>
      </c>
      <c r="Z5" s="63" t="n">
        <v>2053</v>
      </c>
      <c r="AA5" s="63" t="n">
        <v>2054</v>
      </c>
      <c r="AB5" s="63" t="n">
        <v>2055</v>
      </c>
      <c r="AC5" s="63" t="n">
        <v>2056</v>
      </c>
      <c r="AD5" s="63" t="n">
        <v>2057</v>
      </c>
      <c r="AE5" s="63" t="n">
        <v>2058</v>
      </c>
      <c r="AF5" s="63" t="n">
        <v>2059</v>
      </c>
    </row>
    <row r="6" customFormat="false" ht="15" hidden="false" customHeight="true" outlineLevel="0" collapsed="false">
      <c r="B6" s="154" t="s">
        <v>735</v>
      </c>
      <c r="C6" s="155" t="n">
        <f aca="false">'03_Revenue'!D19</f>
        <v>86.366592</v>
      </c>
      <c r="D6" s="155" t="n">
        <f aca="false">'03_Revenue'!E19</f>
        <v>87.6371374944</v>
      </c>
      <c r="E6" s="155" t="n">
        <f aca="false">'03_Revenue'!F19</f>
        <v>1541.89957174766</v>
      </c>
      <c r="F6" s="155" t="n">
        <f aca="false">'03_Revenue'!G19</f>
        <v>1572.4464838083</v>
      </c>
      <c r="G6" s="155" t="n">
        <f aca="false">'03_Revenue'!H19</f>
        <v>1635.81848076003</v>
      </c>
      <c r="H6" s="155" t="n">
        <f aca="false">'03_Revenue'!I19</f>
        <v>1668.2354644799</v>
      </c>
      <c r="I6" s="155" t="n">
        <f aca="false">'03_Revenue'!J19</f>
        <v>1701.29654162022</v>
      </c>
      <c r="J6" s="155" t="n">
        <f aca="false">'03_Revenue'!K19</f>
        <v>1735.01453076559</v>
      </c>
      <c r="K6" s="155" t="n">
        <f aca="false">'03_Revenue'!L19</f>
        <v>1769.40250588662</v>
      </c>
      <c r="L6" s="155" t="n">
        <f aca="false">'03_Revenue'!M19</f>
        <v>1804.47380143165</v>
      </c>
      <c r="M6" s="155" t="n">
        <f aca="false">'03_Revenue'!N19</f>
        <v>1840.24201752014</v>
      </c>
      <c r="N6" s="155" t="n">
        <f aca="false">'03_Revenue'!O19</f>
        <v>1876.72102523952</v>
      </c>
      <c r="O6" s="155" t="n">
        <f aca="false">'03_Revenue'!P19</f>
        <v>1913.92497204786</v>
      </c>
      <c r="P6" s="155" t="n">
        <f aca="false">'03_Revenue'!Q19</f>
        <v>1951.86828728416</v>
      </c>
      <c r="Q6" s="155" t="n">
        <f aca="false">'03_Revenue'!R19</f>
        <v>1990.56568778865</v>
      </c>
      <c r="R6" s="155" t="n">
        <f aca="false">'03_Revenue'!S19</f>
        <v>2030.0321836352</v>
      </c>
      <c r="S6" s="155" t="n">
        <f aca="false">'03_Revenue'!T19</f>
        <v>2070.28308397804</v>
      </c>
      <c r="T6" s="155" t="n">
        <f aca="false">'03_Revenue'!U19</f>
        <v>2111.33400301514</v>
      </c>
      <c r="U6" s="155" t="n">
        <f aca="false">'03_Revenue'!V19</f>
        <v>2153.20086607056</v>
      </c>
      <c r="V6" s="155" t="n">
        <f aca="false">'03_Revenue'!W19</f>
        <v>2195.89991579811</v>
      </c>
      <c r="W6" s="155" t="n">
        <f aca="false">'03_Revenue'!X19</f>
        <v>2239.44771850879</v>
      </c>
      <c r="X6" s="155" t="n">
        <f aca="false">'03_Revenue'!Y19</f>
        <v>2283.86117062445</v>
      </c>
      <c r="Y6" s="155" t="n">
        <f aca="false">'03_Revenue'!Z19</f>
        <v>2329.15750526016</v>
      </c>
      <c r="Z6" s="155" t="n">
        <f aca="false">'03_Revenue'!AA19</f>
        <v>2375.35429893798</v>
      </c>
      <c r="AA6" s="155" t="n">
        <f aca="false">'03_Revenue'!AB19</f>
        <v>2422.46947843454</v>
      </c>
      <c r="AB6" s="155" t="n">
        <f aca="false">'03_Revenue'!AC19</f>
        <v>2470.52132776537</v>
      </c>
      <c r="AC6" s="155" t="n">
        <f aca="false">'03_Revenue'!AD19</f>
        <v>2519.5284953084</v>
      </c>
      <c r="AD6" s="155" t="n">
        <f aca="false">'03_Revenue'!AE19</f>
        <v>2569.51000106978</v>
      </c>
      <c r="AE6" s="155" t="n">
        <f aca="false">'03_Revenue'!AF19</f>
        <v>2620.48524409441</v>
      </c>
      <c r="AF6" s="155" t="n">
        <f aca="false">'03_Revenue'!AG19</f>
        <v>2672.47401002454</v>
      </c>
    </row>
    <row r="7" customFormat="false" ht="15" hidden="false" customHeight="true" outlineLevel="0" collapsed="false">
      <c r="B7" s="156" t="s">
        <v>453</v>
      </c>
      <c r="C7" s="155" t="n">
        <f aca="false">'05_OPEX'!D22</f>
        <v>28.956912975</v>
      </c>
      <c r="D7" s="155" t="n">
        <f aca="false">'05_OPEX'!E22</f>
        <v>29.139163842</v>
      </c>
      <c r="E7" s="155" t="n">
        <f aca="false">'05_OPEX'!F22</f>
        <v>127.827011934015</v>
      </c>
      <c r="F7" s="155" t="n">
        <f aca="false">'05_OPEX'!G22</f>
        <v>130.249832226491</v>
      </c>
      <c r="G7" s="155" t="n">
        <f aca="false">'05_OPEX'!H22</f>
        <v>132.731936293266</v>
      </c>
      <c r="H7" s="155" t="n">
        <f aca="false">'05_OPEX'!I22</f>
        <v>135.274753499879</v>
      </c>
      <c r="I7" s="155" t="n">
        <f aca="false">'05_OPEX'!J22</f>
        <v>137.879748207938</v>
      </c>
      <c r="J7" s="155" t="n">
        <f aca="false">'05_OPEX'!K22</f>
        <v>140.54842064185</v>
      </c>
      <c r="K7" s="155" t="n">
        <f aca="false">'05_OPEX'!L22</f>
        <v>143.282307777385</v>
      </c>
      <c r="L7" s="155" t="n">
        <f aca="false">'05_OPEX'!M22</f>
        <v>146.082984252648</v>
      </c>
      <c r="M7" s="155" t="n">
        <f aca="false">'05_OPEX'!N22</f>
        <v>148.95206330203</v>
      </c>
      <c r="N7" s="155" t="n">
        <f aca="false">'05_OPEX'!O22</f>
        <v>151.891197713745</v>
      </c>
      <c r="O7" s="155" t="n">
        <f aca="false">'05_OPEX'!P22</f>
        <v>154.90208081154</v>
      </c>
      <c r="P7" s="155" t="n">
        <f aca="false">'05_OPEX'!Q22</f>
        <v>157.986447461243</v>
      </c>
      <c r="Q7" s="155" t="n">
        <f aca="false">'05_OPEX'!R22</f>
        <v>161.146075102751</v>
      </c>
      <c r="R7" s="155" t="n">
        <f aca="false">'05_OPEX'!S22</f>
        <v>164.382784808159</v>
      </c>
      <c r="S7" s="155" t="n">
        <f aca="false">'05_OPEX'!T22</f>
        <v>167.698442366676</v>
      </c>
      <c r="T7" s="155" t="n">
        <f aca="false">'05_OPEX'!U22</f>
        <v>171.094959397054</v>
      </c>
      <c r="U7" s="155" t="n">
        <f aca="false">'05_OPEX'!V22</f>
        <v>174.574294488226</v>
      </c>
      <c r="V7" s="155" t="n">
        <f aca="false">'05_OPEX'!W22</f>
        <v>178.138454368907</v>
      </c>
      <c r="W7" s="155" t="n">
        <f aca="false">'05_OPEX'!X22</f>
        <v>181.789495106897</v>
      </c>
      <c r="X7" s="155" t="n">
        <f aca="false">'05_OPEX'!Y22</f>
        <v>185.529523338882</v>
      </c>
      <c r="Y7" s="155" t="n">
        <f aca="false">'05_OPEX'!Z22</f>
        <v>189.360697531516</v>
      </c>
      <c r="Z7" s="155" t="n">
        <f aca="false">'05_OPEX'!AA22</f>
        <v>193.285229274615</v>
      </c>
      <c r="AA7" s="155" t="n">
        <f aca="false">'05_OPEX'!AB22</f>
        <v>197.305384607298</v>
      </c>
      <c r="AB7" s="155" t="n">
        <f aca="false">'05_OPEX'!AC22</f>
        <v>201.423485377954</v>
      </c>
      <c r="AC7" s="155" t="n">
        <f aca="false">'05_OPEX'!AD22</f>
        <v>205.641910638908</v>
      </c>
      <c r="AD7" s="155" t="n">
        <f aca="false">'05_OPEX'!AE22</f>
        <v>209.963098076712</v>
      </c>
      <c r="AE7" s="155" t="n">
        <f aca="false">'05_OPEX'!AF22</f>
        <v>214.389545479002</v>
      </c>
      <c r="AF7" s="155" t="n">
        <f aca="false">'05_OPEX'!AG22</f>
        <v>218.92381223888</v>
      </c>
    </row>
    <row r="8" customFormat="false" ht="15" hidden="false" customHeight="true" outlineLevel="0" collapsed="false">
      <c r="B8" s="157" t="s">
        <v>454</v>
      </c>
      <c r="C8" s="155" t="n">
        <f aca="false">'07_PnL'!D16</f>
        <v>57.409679025</v>
      </c>
      <c r="D8" s="155" t="n">
        <f aca="false">'07_PnL'!E16</f>
        <v>58.4979736524</v>
      </c>
      <c r="E8" s="155" t="n">
        <f aca="false">'07_PnL'!F16</f>
        <v>1414.07255981365</v>
      </c>
      <c r="F8" s="155" t="n">
        <f aca="false">'07_PnL'!G16</f>
        <v>1442.19665158181</v>
      </c>
      <c r="G8" s="155" t="n">
        <f aca="false">'07_PnL'!H16</f>
        <v>1503.08654446677</v>
      </c>
      <c r="H8" s="155" t="n">
        <f aca="false">'07_PnL'!I16</f>
        <v>1532.96071098002</v>
      </c>
      <c r="I8" s="155" t="n">
        <f aca="false">'07_PnL'!J16</f>
        <v>1563.41679341228</v>
      </c>
      <c r="J8" s="155" t="n">
        <f aca="false">'07_PnL'!K16</f>
        <v>1594.46611012374</v>
      </c>
      <c r="K8" s="155" t="n">
        <f aca="false">'07_PnL'!L16</f>
        <v>1626.12019810924</v>
      </c>
      <c r="L8" s="155" t="n">
        <f aca="false">'07_PnL'!M16</f>
        <v>1658.39081717901</v>
      </c>
      <c r="M8" s="155" t="n">
        <f aca="false">'07_PnL'!N16</f>
        <v>1691.28995421811</v>
      </c>
      <c r="N8" s="155" t="n">
        <f aca="false">'07_PnL'!O16</f>
        <v>1724.82982752578</v>
      </c>
      <c r="O8" s="155" t="n">
        <f aca="false">'07_PnL'!P16</f>
        <v>1759.02289123632</v>
      </c>
      <c r="P8" s="155" t="n">
        <f aca="false">'07_PnL'!Q16</f>
        <v>1793.88183982291</v>
      </c>
      <c r="Q8" s="155" t="n">
        <f aca="false">'07_PnL'!R16</f>
        <v>1829.4196126859</v>
      </c>
      <c r="R8" s="155" t="n">
        <f aca="false">'07_PnL'!S16</f>
        <v>1865.64939882704</v>
      </c>
      <c r="S8" s="155" t="n">
        <f aca="false">'07_PnL'!T16</f>
        <v>1902.58464161136</v>
      </c>
      <c r="T8" s="155" t="n">
        <f aca="false">'07_PnL'!U16</f>
        <v>1940.23904361808</v>
      </c>
      <c r="U8" s="155" t="n">
        <f aca="false">'07_PnL'!V16</f>
        <v>1978.62657158233</v>
      </c>
      <c r="V8" s="155" t="n">
        <f aca="false">'07_PnL'!W16</f>
        <v>2017.7614614292</v>
      </c>
      <c r="W8" s="155" t="n">
        <f aca="false">'07_PnL'!X16</f>
        <v>2057.65822340189</v>
      </c>
      <c r="X8" s="155" t="n">
        <f aca="false">'07_PnL'!Y16</f>
        <v>2098.33164728556</v>
      </c>
      <c r="Y8" s="155" t="n">
        <f aca="false">'07_PnL'!Z16</f>
        <v>2139.79680772865</v>
      </c>
      <c r="Z8" s="155" t="n">
        <f aca="false">'07_PnL'!AA16</f>
        <v>2182.06906966336</v>
      </c>
      <c r="AA8" s="155" t="n">
        <f aca="false">'07_PnL'!AB16</f>
        <v>2225.16409382725</v>
      </c>
      <c r="AB8" s="155" t="n">
        <f aca="false">'07_PnL'!AC16</f>
        <v>2269.09784238741</v>
      </c>
      <c r="AC8" s="155" t="n">
        <f aca="false">'07_PnL'!AD16</f>
        <v>2313.8865846695</v>
      </c>
      <c r="AD8" s="155" t="n">
        <f aca="false">'07_PnL'!AE16</f>
        <v>2359.54690299307</v>
      </c>
      <c r="AE8" s="155" t="n">
        <f aca="false">'07_PnL'!AF16</f>
        <v>2406.09569861541</v>
      </c>
      <c r="AF8" s="155" t="n">
        <f aca="false">'07_PnL'!AG16</f>
        <v>2453.55019778566</v>
      </c>
    </row>
    <row r="9" customFormat="false" ht="15" hidden="false" customHeight="true" outlineLevel="0" collapsed="false">
      <c r="B9" s="158" t="s">
        <v>736</v>
      </c>
      <c r="C9" s="155" t="n">
        <f aca="false">'07_PnL'!D36</f>
        <v>-369.4223967375</v>
      </c>
      <c r="D9" s="155" t="n">
        <f aca="false">'07_PnL'!E36</f>
        <v>-368.3341021101</v>
      </c>
      <c r="E9" s="155" t="n">
        <f aca="false">'07_PnL'!F36</f>
        <v>836.686310233346</v>
      </c>
      <c r="F9" s="155" t="n">
        <f aca="false">'07_PnL'!G36</f>
        <v>866.838217038477</v>
      </c>
      <c r="G9" s="155" t="n">
        <f aca="false">'07_PnL'!H36</f>
        <v>925.359151765596</v>
      </c>
      <c r="H9" s="155" t="n">
        <f aca="false">'07_PnL'!I36</f>
        <v>958.252527613915</v>
      </c>
      <c r="I9" s="155" t="n">
        <f aca="false">'07_PnL'!J36</f>
        <v>992.361365474389</v>
      </c>
      <c r="J9" s="155" t="n">
        <f aca="false">'07_PnL'!K36</f>
        <v>1027.76561626567</v>
      </c>
      <c r="K9" s="155" t="n">
        <f aca="false">'07_PnL'!L36</f>
        <v>1064.55239272862</v>
      </c>
      <c r="L9" s="155" t="n">
        <f aca="false">'07_PnL'!M36</f>
        <v>1102.81667467083</v>
      </c>
      <c r="M9" s="155" t="n">
        <f aca="false">'07_PnL'!N36</f>
        <v>889.860739262321</v>
      </c>
      <c r="N9" s="155" t="n">
        <f aca="false">'07_PnL'!O36</f>
        <v>922.210211122589</v>
      </c>
      <c r="O9" s="155" t="n">
        <f aca="false">'07_PnL'!P36</f>
        <v>955.975327238741</v>
      </c>
      <c r="P9" s="155" t="n">
        <f aca="false">'07_PnL'!Q36</f>
        <v>991.26125430989</v>
      </c>
      <c r="Q9" s="155" t="n">
        <f aca="false">'07_PnL'!R36</f>
        <v>1028.18298934811</v>
      </c>
      <c r="R9" s="155" t="n">
        <f aca="false">'07_PnL'!S36</f>
        <v>1066.86634091419</v>
      </c>
      <c r="S9" s="155" t="n">
        <f aca="false">'07_PnL'!T36</f>
        <v>1107.44901033765</v>
      </c>
      <c r="T9" s="155" t="n">
        <f aca="false">'07_PnL'!U36</f>
        <v>1150.08178320577</v>
      </c>
      <c r="U9" s="155" t="n">
        <f aca="false">'07_PnL'!V36</f>
        <v>1194.92984247082</v>
      </c>
      <c r="V9" s="155" t="n">
        <f aca="false">'07_PnL'!W36</f>
        <v>1225.98105544374</v>
      </c>
      <c r="W9" s="155" t="n">
        <f aca="false">'07_PnL'!X36</f>
        <v>1257.92676794525</v>
      </c>
      <c r="X9" s="155" t="n">
        <f aca="false">'07_PnL'!Y36</f>
        <v>1284.77122770847</v>
      </c>
      <c r="Y9" s="155" t="n">
        <f aca="false">'07_PnL'!Z36</f>
        <v>1312.13823360091</v>
      </c>
      <c r="Z9" s="155" t="n">
        <f aca="false">'07_PnL'!AA36</f>
        <v>1340.03792647782</v>
      </c>
      <c r="AA9" s="155" t="n">
        <f aca="false">'07_PnL'!AB36</f>
        <v>1368.48064242598</v>
      </c>
      <c r="AB9" s="155" t="n">
        <f aca="false">'07_PnL'!AC36</f>
        <v>1397.47691647569</v>
      </c>
      <c r="AC9" s="155" t="n">
        <f aca="false">'07_PnL'!AD36</f>
        <v>1427.03748638187</v>
      </c>
      <c r="AD9" s="155" t="n">
        <f aca="false">'07_PnL'!AE36</f>
        <v>1457.17329647542</v>
      </c>
      <c r="AE9" s="155" t="n">
        <f aca="false">'07_PnL'!AF36</f>
        <v>1487.89550158617</v>
      </c>
      <c r="AF9" s="155" t="n">
        <f aca="false">'07_PnL'!AG36</f>
        <v>1519.21547103854</v>
      </c>
    </row>
    <row r="10" customFormat="false" ht="15" hidden="false" customHeight="true" outlineLevel="0" collapsed="false">
      <c r="B10" s="159" t="s">
        <v>488</v>
      </c>
      <c r="C10" s="160" t="n">
        <f aca="false">'08_CashFlow'!D31</f>
        <v>-0.791331242638706</v>
      </c>
      <c r="D10" s="160" t="n">
        <f aca="false">'08_CashFlow'!E31</f>
        <v>-0.787375584091239</v>
      </c>
      <c r="E10" s="160" t="n">
        <f aca="false">'08_CashFlow'!F31</f>
        <v>2.77963455476623</v>
      </c>
      <c r="F10" s="160" t="n">
        <f aca="false">'08_CashFlow'!G31</f>
        <v>2.86442989648621</v>
      </c>
      <c r="G10" s="160" t="n">
        <f aca="false">'08_CashFlow'!H31</f>
        <v>3.02900664083704</v>
      </c>
      <c r="H10" s="160" t="n">
        <f aca="false">'08_CashFlow'!I31</f>
        <v>3.12151173722806</v>
      </c>
      <c r="I10" s="160" t="n">
        <f aca="false">'08_CashFlow'!J31</f>
        <v>3.21743504253483</v>
      </c>
      <c r="J10" s="160" t="n">
        <f aca="false">'08_CashFlow'!K31</f>
        <v>3.31700140043015</v>
      </c>
      <c r="K10" s="160" t="n">
        <f aca="false">'08_CashFlow'!L31</f>
        <v>3.4204557955738</v>
      </c>
      <c r="L10" s="160" t="n">
        <f aca="false">'08_CashFlow'!M31</f>
        <v>3.52806533695134</v>
      </c>
      <c r="M10" s="160" t="n">
        <f aca="false">'08_CashFlow'!N31</f>
        <v>2.92917547466285</v>
      </c>
      <c r="N10" s="160" t="n">
        <f aca="false">'08_CashFlow'!O31</f>
        <v>3.02015096548604</v>
      </c>
      <c r="O10" s="160" t="n">
        <f aca="false">'08_CashFlow'!P31</f>
        <v>3.11510763200096</v>
      </c>
      <c r="P10" s="160" t="n">
        <f aca="false">'08_CashFlow'!Q31</f>
        <v>3.21434123149573</v>
      </c>
      <c r="Q10" s="160" t="n">
        <f aca="false">'08_CashFlow'!R31</f>
        <v>3.31817516676536</v>
      </c>
      <c r="R10" s="160" t="n">
        <f aca="false">'08_CashFlow'!S31</f>
        <v>3.42696324561288</v>
      </c>
      <c r="S10" s="160" t="n">
        <f aca="false">'08_CashFlow'!T31</f>
        <v>3.54109272153329</v>
      </c>
      <c r="T10" s="160" t="n">
        <f aca="false">'08_CashFlow'!U31</f>
        <v>3.66098764450404</v>
      </c>
      <c r="U10" s="160" t="n">
        <f aca="false">'08_CashFlow'!V31</f>
        <v>11.0455402214268</v>
      </c>
      <c r="V10" s="160" t="n">
        <f aca="false">'08_CashFlow'!W31</f>
        <v>11.3002317684425</v>
      </c>
      <c r="W10" s="160" t="str">
        <f aca="false">'08_CashFlow'!X31</f>
        <v/>
      </c>
      <c r="X10" s="160" t="str">
        <f aca="false">'08_CashFlow'!Y31</f>
        <v/>
      </c>
      <c r="Y10" s="160" t="str">
        <f aca="false">'08_CashFlow'!Z31</f>
        <v/>
      </c>
      <c r="Z10" s="160" t="str">
        <f aca="false">'08_CashFlow'!AA31</f>
        <v/>
      </c>
      <c r="AA10" s="160" t="str">
        <f aca="false">'08_CashFlow'!AB31</f>
        <v/>
      </c>
      <c r="AB10" s="160" t="str">
        <f aca="false">'08_CashFlow'!AC31</f>
        <v/>
      </c>
      <c r="AC10" s="160" t="str">
        <f aca="false">'08_CashFlow'!AD31</f>
        <v/>
      </c>
      <c r="AD10" s="160" t="str">
        <f aca="false">'08_CashFlow'!AE31</f>
        <v/>
      </c>
      <c r="AE10" s="160" t="str">
        <f aca="false">'08_CashFlow'!AF31</f>
        <v/>
      </c>
      <c r="AF10" s="160" t="str">
        <f aca="false">'08_CashFlow'!AG31</f>
        <v/>
      </c>
    </row>
    <row r="11" customFormat="false" ht="15" hidden="false" customHeight="true" outlineLevel="0" collapsed="false">
      <c r="B11" s="161" t="s">
        <v>737</v>
      </c>
      <c r="C11" s="162" t="n">
        <f aca="false">'14_Family_LRM'!D18</f>
        <v>0.362130952941177</v>
      </c>
      <c r="D11" s="162" t="n">
        <f aca="false">'14_Family_LRM'!E18</f>
        <v>0.367708728176471</v>
      </c>
      <c r="E11" s="162" t="n">
        <f aca="false">'14_Family_LRM'!F18</f>
        <v>75.9352329901391</v>
      </c>
      <c r="F11" s="162" t="n">
        <f aca="false">'14_Family_LRM'!G18</f>
        <v>77.8692004977211</v>
      </c>
      <c r="G11" s="162" t="n">
        <f aca="false">'14_Family_LRM'!H18</f>
        <v>82.1546973489626</v>
      </c>
      <c r="H11" s="162" t="n">
        <f aca="false">'14_Family_LRM'!I18</f>
        <v>84.1961853438966</v>
      </c>
      <c r="I11" s="162" t="n">
        <f aca="false">'14_Family_LRM'!J18</f>
        <v>86.2689157685079</v>
      </c>
      <c r="J11" s="162" t="n">
        <f aca="false">'14_Family_LRM'!K18</f>
        <v>88.3726438269925</v>
      </c>
      <c r="K11" s="162" t="n">
        <f aca="false">'14_Family_LRM'!L18</f>
        <v>90.507034490454</v>
      </c>
      <c r="L11" s="162" t="n">
        <f aca="false">'14_Family_LRM'!M18</f>
        <v>92.6716520980824</v>
      </c>
      <c r="M11" s="162" t="n">
        <f aca="false">'14_Family_LRM'!N18</f>
        <v>73.3778344315009</v>
      </c>
      <c r="N11" s="162" t="n">
        <f aca="false">'14_Family_LRM'!O18</f>
        <v>74.8199715810748</v>
      </c>
      <c r="O11" s="162" t="n">
        <f aca="false">'14_Family_LRM'!P18</f>
        <v>76.2561193727178</v>
      </c>
      <c r="P11" s="162" t="n">
        <f aca="false">'14_Family_LRM'!Q18</f>
        <v>77.6827726572543</v>
      </c>
      <c r="Q11" s="162" t="n">
        <f aca="false">'14_Family_LRM'!R18</f>
        <v>67.3660175970974</v>
      </c>
      <c r="R11" s="162" t="n">
        <f aca="false">'14_Family_LRM'!S18</f>
        <v>68.7614891396727</v>
      </c>
      <c r="S11" s="162" t="n">
        <f aca="false">'14_Family_LRM'!T18</f>
        <v>81.8643241220931</v>
      </c>
      <c r="T11" s="162" t="n">
        <f aca="false">'14_Family_LRM'!U18</f>
        <v>83.2091095569519</v>
      </c>
      <c r="U11" s="162" t="n">
        <f aca="false">'14_Family_LRM'!V18</f>
        <v>104.381566175537</v>
      </c>
      <c r="V11" s="162" t="n">
        <f aca="false">'14_Family_LRM'!W18</f>
        <v>106.360587380603</v>
      </c>
      <c r="W11" s="162" t="n">
        <f aca="false">'14_Family_LRM'!X18</f>
        <v>118.728812179953</v>
      </c>
      <c r="X11" s="162" t="n">
        <f aca="false">'14_Family_LRM'!Y18</f>
        <v>121.024189578276</v>
      </c>
      <c r="Y11" s="162" t="n">
        <f aca="false">'14_Family_LRM'!Z18</f>
        <v>123.3647172511</v>
      </c>
      <c r="Z11" s="162" t="n">
        <f aca="false">'14_Family_LRM'!AA18</f>
        <v>125.751289584887</v>
      </c>
      <c r="AA11" s="162" t="n">
        <f aca="false">'14_Family_LRM'!AB18</f>
        <v>128.184819022441</v>
      </c>
      <c r="AB11" s="162" t="n">
        <f aca="false">'14_Family_LRM'!AC18</f>
        <v>130.666236444195</v>
      </c>
      <c r="AC11" s="162" t="n">
        <f aca="false">'14_Family_LRM'!AD18</f>
        <v>133.196491558322</v>
      </c>
      <c r="AD11" s="162" t="n">
        <f aca="false">'14_Family_LRM'!AE18</f>
        <v>135.77655329991</v>
      </c>
      <c r="AE11" s="162" t="n">
        <f aca="false">'14_Family_LRM'!AF18</f>
        <v>138.407410239456</v>
      </c>
      <c r="AF11" s="162" t="n">
        <f aca="false">'14_Family_LRM'!AG18</f>
        <v>141.09007100092</v>
      </c>
    </row>
  </sheetData>
  <mergeCells count="2">
    <mergeCell ref="B2:K2"/>
    <mergeCell ref="B3:K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H44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2"/>
    <col collapsed="false" customWidth="true" hidden="false" outlineLevel="0" max="2" min="2" style="1" width="6"/>
    <col collapsed="false" customWidth="true" hidden="false" outlineLevel="0" max="3" min="3" style="1" width="35"/>
    <col collapsed="false" customWidth="true" hidden="false" outlineLevel="0" max="4" min="4" style="1" width="18"/>
    <col collapsed="false" customWidth="true" hidden="false" outlineLevel="0" max="6" min="5" style="1" width="13"/>
    <col collapsed="false" customWidth="true" hidden="false" outlineLevel="0" max="7" min="7" style="1" width="40"/>
    <col collapsed="false" customWidth="true" hidden="false" outlineLevel="0" max="8" min="8" style="1" width="45"/>
  </cols>
  <sheetData>
    <row r="2" customFormat="false" ht="21.75" hidden="false" customHeight="true" outlineLevel="0" collapsed="false">
      <c r="B2" s="163" t="s">
        <v>738</v>
      </c>
      <c r="C2" s="163"/>
      <c r="D2" s="163"/>
      <c r="E2" s="163"/>
      <c r="F2" s="163"/>
      <c r="G2" s="163"/>
      <c r="H2" s="163"/>
    </row>
    <row r="3" customFormat="false" ht="15" hidden="false" customHeight="true" outlineLevel="0" collapsed="false">
      <c r="B3" s="32" t="s">
        <v>739</v>
      </c>
      <c r="C3" s="32"/>
      <c r="D3" s="32"/>
      <c r="E3" s="32"/>
      <c r="F3" s="32"/>
      <c r="G3" s="32"/>
      <c r="H3" s="32"/>
    </row>
    <row r="5" customFormat="false" ht="25.5" hidden="false" customHeight="true" outlineLevel="0" collapsed="false">
      <c r="B5" s="164" t="s">
        <v>740</v>
      </c>
      <c r="C5" s="164" t="s">
        <v>80</v>
      </c>
      <c r="D5" s="164" t="s">
        <v>741</v>
      </c>
      <c r="E5" s="164" t="s">
        <v>505</v>
      </c>
      <c r="F5" s="164" t="s">
        <v>284</v>
      </c>
      <c r="G5" s="164" t="s">
        <v>742</v>
      </c>
      <c r="H5" s="164" t="s">
        <v>743</v>
      </c>
    </row>
    <row r="6" customFormat="false" ht="15" hidden="false" customHeight="true" outlineLevel="0" collapsed="false">
      <c r="B6" s="165" t="s">
        <v>744</v>
      </c>
      <c r="C6" s="166" t="s">
        <v>745</v>
      </c>
      <c r="D6" s="167" t="s">
        <v>746</v>
      </c>
      <c r="E6" s="168" t="n">
        <v>5.56</v>
      </c>
      <c r="F6" s="169" t="s">
        <v>747</v>
      </c>
      <c r="G6" s="166" t="s">
        <v>748</v>
      </c>
      <c r="H6" s="170" t="s">
        <v>749</v>
      </c>
    </row>
    <row r="7" customFormat="false" ht="15" hidden="false" customHeight="true" outlineLevel="0" collapsed="false">
      <c r="B7" s="171" t="s">
        <v>750</v>
      </c>
      <c r="C7" s="172" t="s">
        <v>751</v>
      </c>
      <c r="D7" s="173" t="s">
        <v>746</v>
      </c>
      <c r="E7" s="174" t="n">
        <v>2029</v>
      </c>
      <c r="F7" s="175" t="s">
        <v>752</v>
      </c>
      <c r="G7" s="172" t="s">
        <v>753</v>
      </c>
      <c r="H7" s="176" t="s">
        <v>754</v>
      </c>
    </row>
    <row r="8" customFormat="false" ht="15" hidden="false" customHeight="true" outlineLevel="0" collapsed="false">
      <c r="B8" s="165" t="s">
        <v>755</v>
      </c>
      <c r="C8" s="166" t="s">
        <v>756</v>
      </c>
      <c r="D8" s="167" t="s">
        <v>746</v>
      </c>
      <c r="E8" s="177" t="n">
        <v>0.312</v>
      </c>
      <c r="F8" s="169" t="s">
        <v>456</v>
      </c>
      <c r="G8" s="166" t="s">
        <v>757</v>
      </c>
      <c r="H8" s="170" t="s">
        <v>758</v>
      </c>
    </row>
    <row r="9" customFormat="false" ht="15" hidden="false" customHeight="true" outlineLevel="0" collapsed="false">
      <c r="B9" s="171" t="s">
        <v>759</v>
      </c>
      <c r="C9" s="172" t="s">
        <v>760</v>
      </c>
      <c r="D9" s="173" t="s">
        <v>746</v>
      </c>
      <c r="E9" s="178" t="n">
        <v>0.289</v>
      </c>
      <c r="F9" s="175" t="s">
        <v>456</v>
      </c>
      <c r="G9" s="172" t="s">
        <v>761</v>
      </c>
      <c r="H9" s="176" t="s">
        <v>762</v>
      </c>
    </row>
    <row r="10" customFormat="false" ht="15" hidden="false" customHeight="true" outlineLevel="0" collapsed="false">
      <c r="B10" s="165" t="s">
        <v>763</v>
      </c>
      <c r="C10" s="166" t="s">
        <v>764</v>
      </c>
      <c r="D10" s="167" t="s">
        <v>765</v>
      </c>
      <c r="E10" s="179" t="n">
        <v>0.105</v>
      </c>
      <c r="F10" s="169" t="s">
        <v>168</v>
      </c>
      <c r="G10" s="166" t="s">
        <v>766</v>
      </c>
      <c r="H10" s="170" t="s">
        <v>767</v>
      </c>
    </row>
    <row r="11" customFormat="false" ht="15" hidden="false" customHeight="true" outlineLevel="0" collapsed="false">
      <c r="B11" s="171" t="s">
        <v>768</v>
      </c>
      <c r="C11" s="172" t="s">
        <v>373</v>
      </c>
      <c r="D11" s="173" t="s">
        <v>765</v>
      </c>
      <c r="E11" s="180" t="n">
        <v>0.39</v>
      </c>
      <c r="F11" s="175" t="s">
        <v>168</v>
      </c>
      <c r="G11" s="172" t="s">
        <v>769</v>
      </c>
      <c r="H11" s="176" t="s">
        <v>770</v>
      </c>
    </row>
    <row r="12" customFormat="false" ht="15" hidden="false" customHeight="true" outlineLevel="0" collapsed="false">
      <c r="B12" s="165" t="s">
        <v>771</v>
      </c>
      <c r="C12" s="166" t="s">
        <v>375</v>
      </c>
      <c r="D12" s="167" t="s">
        <v>765</v>
      </c>
      <c r="E12" s="179" t="n">
        <v>0.085</v>
      </c>
      <c r="F12" s="169" t="s">
        <v>168</v>
      </c>
      <c r="G12" s="166" t="s">
        <v>772</v>
      </c>
      <c r="H12" s="170" t="s">
        <v>773</v>
      </c>
    </row>
    <row r="13" customFormat="false" ht="15" hidden="false" customHeight="true" outlineLevel="0" collapsed="false">
      <c r="B13" s="171" t="s">
        <v>774</v>
      </c>
      <c r="C13" s="172" t="s">
        <v>775</v>
      </c>
      <c r="D13" s="173" t="s">
        <v>765</v>
      </c>
      <c r="E13" s="180" t="n">
        <v>0.045</v>
      </c>
      <c r="F13" s="175" t="s">
        <v>168</v>
      </c>
      <c r="G13" s="172" t="s">
        <v>776</v>
      </c>
      <c r="H13" s="176" t="s">
        <v>777</v>
      </c>
    </row>
    <row r="14" customFormat="false" ht="15" hidden="false" customHeight="true" outlineLevel="0" collapsed="false">
      <c r="B14" s="165" t="s">
        <v>778</v>
      </c>
      <c r="C14" s="166" t="s">
        <v>379</v>
      </c>
      <c r="D14" s="167" t="s">
        <v>765</v>
      </c>
      <c r="E14" s="179" t="n">
        <v>0.025</v>
      </c>
      <c r="F14" s="169" t="s">
        <v>168</v>
      </c>
      <c r="G14" s="166" t="s">
        <v>779</v>
      </c>
      <c r="H14" s="170" t="s">
        <v>780</v>
      </c>
    </row>
    <row r="15" customFormat="false" ht="15" hidden="false" customHeight="true" outlineLevel="0" collapsed="false">
      <c r="B15" s="171" t="s">
        <v>55</v>
      </c>
      <c r="C15" s="172" t="s">
        <v>781</v>
      </c>
      <c r="D15" s="173" t="s">
        <v>782</v>
      </c>
      <c r="E15" s="174" t="n">
        <v>280</v>
      </c>
      <c r="F15" s="175" t="s">
        <v>184</v>
      </c>
      <c r="G15" s="172" t="s">
        <v>783</v>
      </c>
      <c r="H15" s="176" t="s">
        <v>784</v>
      </c>
    </row>
    <row r="16" customFormat="false" ht="15" hidden="false" customHeight="true" outlineLevel="0" collapsed="false">
      <c r="B16" s="165" t="s">
        <v>58</v>
      </c>
      <c r="C16" s="166" t="s">
        <v>785</v>
      </c>
      <c r="D16" s="167" t="s">
        <v>782</v>
      </c>
      <c r="E16" s="181" t="n">
        <v>65</v>
      </c>
      <c r="F16" s="169" t="s">
        <v>184</v>
      </c>
      <c r="G16" s="166" t="s">
        <v>786</v>
      </c>
      <c r="H16" s="170" t="s">
        <v>787</v>
      </c>
    </row>
    <row r="17" customFormat="false" ht="15" hidden="false" customHeight="true" outlineLevel="0" collapsed="false">
      <c r="B17" s="171" t="s">
        <v>61</v>
      </c>
      <c r="C17" s="172" t="s">
        <v>386</v>
      </c>
      <c r="D17" s="173" t="s">
        <v>788</v>
      </c>
      <c r="E17" s="182" t="n">
        <v>9.5</v>
      </c>
      <c r="F17" s="175" t="s">
        <v>187</v>
      </c>
      <c r="G17" s="172" t="s">
        <v>789</v>
      </c>
      <c r="H17" s="176" t="s">
        <v>790</v>
      </c>
    </row>
    <row r="18" customFormat="false" ht="15" hidden="false" customHeight="true" outlineLevel="0" collapsed="false">
      <c r="B18" s="165" t="s">
        <v>64</v>
      </c>
      <c r="C18" s="166" t="s">
        <v>791</v>
      </c>
      <c r="D18" s="167" t="s">
        <v>792</v>
      </c>
      <c r="E18" s="168" t="n">
        <v>2.15</v>
      </c>
      <c r="F18" s="169" t="s">
        <v>793</v>
      </c>
      <c r="G18" s="166" t="s">
        <v>794</v>
      </c>
      <c r="H18" s="170" t="s">
        <v>795</v>
      </c>
    </row>
    <row r="19" customFormat="false" ht="15" hidden="false" customHeight="true" outlineLevel="0" collapsed="false">
      <c r="B19" s="171" t="s">
        <v>67</v>
      </c>
      <c r="C19" s="172" t="s">
        <v>796</v>
      </c>
      <c r="D19" s="173" t="s">
        <v>792</v>
      </c>
      <c r="E19" s="174" t="n">
        <v>85</v>
      </c>
      <c r="F19" s="175" t="s">
        <v>351</v>
      </c>
      <c r="G19" s="172" t="s">
        <v>797</v>
      </c>
      <c r="H19" s="176" t="s">
        <v>798</v>
      </c>
    </row>
    <row r="20" customFormat="false" ht="15" hidden="false" customHeight="true" outlineLevel="0" collapsed="false">
      <c r="B20" s="165" t="s">
        <v>70</v>
      </c>
      <c r="C20" s="166" t="s">
        <v>799</v>
      </c>
      <c r="D20" s="167" t="s">
        <v>800</v>
      </c>
      <c r="E20" s="168" t="n">
        <v>1.1</v>
      </c>
      <c r="F20" s="169" t="s">
        <v>793</v>
      </c>
      <c r="G20" s="166" t="s">
        <v>801</v>
      </c>
      <c r="H20" s="170" t="s">
        <v>802</v>
      </c>
    </row>
    <row r="21" customFormat="false" ht="15" hidden="false" customHeight="true" outlineLevel="0" collapsed="false">
      <c r="B21" s="171" t="s">
        <v>73</v>
      </c>
      <c r="C21" s="172" t="s">
        <v>803</v>
      </c>
      <c r="D21" s="173" t="s">
        <v>800</v>
      </c>
      <c r="E21" s="182" t="n">
        <v>6</v>
      </c>
      <c r="F21" s="175" t="s">
        <v>804</v>
      </c>
      <c r="G21" s="172" t="s">
        <v>805</v>
      </c>
      <c r="H21" s="176" t="s">
        <v>806</v>
      </c>
    </row>
    <row r="22" customFormat="false" ht="15" hidden="false" customHeight="true" outlineLevel="0" collapsed="false">
      <c r="B22" s="165" t="s">
        <v>807</v>
      </c>
      <c r="C22" s="166" t="s">
        <v>808</v>
      </c>
      <c r="D22" s="167" t="s">
        <v>809</v>
      </c>
      <c r="E22" s="168" t="n">
        <v>5.1</v>
      </c>
      <c r="F22" s="169" t="s">
        <v>810</v>
      </c>
      <c r="G22" s="166" t="s">
        <v>811</v>
      </c>
      <c r="H22" s="170" t="s">
        <v>812</v>
      </c>
    </row>
    <row r="23" customFormat="false" ht="15" hidden="false" customHeight="true" outlineLevel="0" collapsed="false">
      <c r="B23" s="171" t="s">
        <v>813</v>
      </c>
      <c r="C23" s="172" t="s">
        <v>814</v>
      </c>
      <c r="D23" s="173" t="s">
        <v>815</v>
      </c>
      <c r="E23" s="178" t="n">
        <v>0.105</v>
      </c>
      <c r="F23" s="175" t="s">
        <v>456</v>
      </c>
      <c r="G23" s="172" t="s">
        <v>816</v>
      </c>
      <c r="H23" s="176" t="s">
        <v>817</v>
      </c>
    </row>
    <row r="24" customFormat="false" ht="15" hidden="false" customHeight="true" outlineLevel="0" collapsed="false">
      <c r="B24" s="165" t="s">
        <v>818</v>
      </c>
      <c r="C24" s="166" t="s">
        <v>819</v>
      </c>
      <c r="D24" s="167" t="s">
        <v>820</v>
      </c>
      <c r="E24" s="177" t="n">
        <v>0.045</v>
      </c>
      <c r="F24" s="169" t="s">
        <v>456</v>
      </c>
      <c r="G24" s="166" t="s">
        <v>821</v>
      </c>
      <c r="H24" s="170" t="s">
        <v>822</v>
      </c>
    </row>
    <row r="25" customFormat="false" ht="15" hidden="false" customHeight="true" outlineLevel="0" collapsed="false">
      <c r="B25" s="171" t="s">
        <v>823</v>
      </c>
      <c r="C25" s="172" t="s">
        <v>824</v>
      </c>
      <c r="D25" s="173" t="s">
        <v>815</v>
      </c>
      <c r="E25" s="178" t="n">
        <v>0.095</v>
      </c>
      <c r="F25" s="175" t="s">
        <v>456</v>
      </c>
      <c r="G25" s="172" t="s">
        <v>825</v>
      </c>
      <c r="H25" s="176" t="s">
        <v>826</v>
      </c>
    </row>
    <row r="26" customFormat="false" ht="15" hidden="false" customHeight="true" outlineLevel="0" collapsed="false">
      <c r="B26" s="165" t="s">
        <v>827</v>
      </c>
      <c r="C26" s="166" t="s">
        <v>828</v>
      </c>
      <c r="D26" s="167" t="s">
        <v>829</v>
      </c>
      <c r="E26" s="177" t="n">
        <v>0.075</v>
      </c>
      <c r="F26" s="169" t="s">
        <v>456</v>
      </c>
      <c r="G26" s="166" t="s">
        <v>830</v>
      </c>
      <c r="H26" s="170" t="s">
        <v>831</v>
      </c>
    </row>
    <row r="27" customFormat="false" ht="15" hidden="false" customHeight="true" outlineLevel="0" collapsed="false">
      <c r="B27" s="171" t="s">
        <v>832</v>
      </c>
      <c r="C27" s="172" t="s">
        <v>833</v>
      </c>
      <c r="D27" s="173" t="s">
        <v>829</v>
      </c>
      <c r="E27" s="178" t="n">
        <v>0.042</v>
      </c>
      <c r="F27" s="175" t="s">
        <v>456</v>
      </c>
      <c r="G27" s="172" t="s">
        <v>834</v>
      </c>
      <c r="H27" s="176" t="s">
        <v>835</v>
      </c>
    </row>
    <row r="28" customFormat="false" ht="15" hidden="false" customHeight="true" outlineLevel="0" collapsed="false">
      <c r="B28" s="165" t="s">
        <v>836</v>
      </c>
      <c r="C28" s="166" t="s">
        <v>837</v>
      </c>
      <c r="D28" s="167" t="s">
        <v>829</v>
      </c>
      <c r="E28" s="177" t="n">
        <v>0.022</v>
      </c>
      <c r="F28" s="169" t="s">
        <v>456</v>
      </c>
      <c r="G28" s="166" t="s">
        <v>838</v>
      </c>
      <c r="H28" s="170" t="s">
        <v>839</v>
      </c>
    </row>
    <row r="29" customFormat="false" ht="15" hidden="false" customHeight="true" outlineLevel="0" collapsed="false">
      <c r="B29" s="171" t="s">
        <v>620</v>
      </c>
      <c r="C29" s="172" t="s">
        <v>840</v>
      </c>
      <c r="D29" s="173" t="s">
        <v>841</v>
      </c>
      <c r="E29" s="174" t="n">
        <v>38</v>
      </c>
      <c r="F29" s="175" t="s">
        <v>203</v>
      </c>
      <c r="G29" s="172" t="s">
        <v>842</v>
      </c>
      <c r="H29" s="176" t="s">
        <v>843</v>
      </c>
    </row>
    <row r="30" customFormat="false" ht="15" hidden="false" customHeight="true" outlineLevel="0" collapsed="false">
      <c r="B30" s="165" t="s">
        <v>844</v>
      </c>
      <c r="C30" s="166" t="s">
        <v>845</v>
      </c>
      <c r="D30" s="167" t="s">
        <v>841</v>
      </c>
      <c r="E30" s="181" t="n">
        <v>72</v>
      </c>
      <c r="F30" s="169" t="s">
        <v>203</v>
      </c>
      <c r="G30" s="166" t="s">
        <v>846</v>
      </c>
      <c r="H30" s="170" t="s">
        <v>847</v>
      </c>
    </row>
    <row r="31" customFormat="false" ht="15" hidden="false" customHeight="true" outlineLevel="0" collapsed="false">
      <c r="B31" s="171" t="s">
        <v>848</v>
      </c>
      <c r="C31" s="172" t="s">
        <v>849</v>
      </c>
      <c r="D31" s="173" t="s">
        <v>841</v>
      </c>
      <c r="E31" s="182" t="n">
        <v>1.5</v>
      </c>
      <c r="F31" s="175" t="s">
        <v>203</v>
      </c>
      <c r="G31" s="172" t="s">
        <v>850</v>
      </c>
      <c r="H31" s="176" t="s">
        <v>851</v>
      </c>
    </row>
    <row r="32" customFormat="false" ht="15" hidden="false" customHeight="true" outlineLevel="0" collapsed="false">
      <c r="B32" s="165" t="s">
        <v>852</v>
      </c>
      <c r="C32" s="166" t="s">
        <v>853</v>
      </c>
      <c r="D32" s="167" t="s">
        <v>841</v>
      </c>
      <c r="E32" s="168" t="n">
        <v>4.5</v>
      </c>
      <c r="F32" s="169" t="s">
        <v>854</v>
      </c>
      <c r="G32" s="166" t="s">
        <v>855</v>
      </c>
      <c r="H32" s="170" t="s">
        <v>856</v>
      </c>
    </row>
    <row r="33" customFormat="false" ht="15" hidden="false" customHeight="true" outlineLevel="0" collapsed="false">
      <c r="B33" s="171" t="s">
        <v>857</v>
      </c>
      <c r="C33" s="172" t="s">
        <v>858</v>
      </c>
      <c r="D33" s="173" t="s">
        <v>841</v>
      </c>
      <c r="E33" s="174" t="n">
        <v>16</v>
      </c>
      <c r="F33" s="175" t="s">
        <v>859</v>
      </c>
      <c r="G33" s="172" t="s">
        <v>860</v>
      </c>
      <c r="H33" s="176" t="s">
        <v>861</v>
      </c>
    </row>
    <row r="34" customFormat="false" ht="15" hidden="false" customHeight="true" outlineLevel="0" collapsed="false">
      <c r="B34" s="165" t="s">
        <v>862</v>
      </c>
      <c r="C34" s="166" t="s">
        <v>863</v>
      </c>
      <c r="D34" s="167" t="s">
        <v>864</v>
      </c>
      <c r="E34" s="179" t="n">
        <v>0.75</v>
      </c>
      <c r="F34" s="169" t="s">
        <v>865</v>
      </c>
      <c r="G34" s="166" t="s">
        <v>866</v>
      </c>
      <c r="H34" s="170" t="s">
        <v>867</v>
      </c>
    </row>
    <row r="35" customFormat="false" ht="15" hidden="false" customHeight="true" outlineLevel="0" collapsed="false">
      <c r="B35" s="171" t="s">
        <v>868</v>
      </c>
      <c r="C35" s="172" t="s">
        <v>869</v>
      </c>
      <c r="D35" s="173" t="s">
        <v>864</v>
      </c>
      <c r="E35" s="180" t="n">
        <v>0.0925</v>
      </c>
      <c r="F35" s="175" t="s">
        <v>870</v>
      </c>
      <c r="G35" s="172" t="s">
        <v>657</v>
      </c>
      <c r="H35" s="176" t="s">
        <v>871</v>
      </c>
    </row>
    <row r="36" customFormat="false" ht="15" hidden="false" customHeight="true" outlineLevel="0" collapsed="false">
      <c r="B36" s="165" t="s">
        <v>872</v>
      </c>
      <c r="C36" s="166" t="s">
        <v>873</v>
      </c>
      <c r="D36" s="167" t="s">
        <v>864</v>
      </c>
      <c r="E36" s="177" t="n">
        <v>0.25</v>
      </c>
      <c r="F36" s="169" t="s">
        <v>456</v>
      </c>
      <c r="G36" s="166" t="s">
        <v>264</v>
      </c>
      <c r="H36" s="170" t="s">
        <v>874</v>
      </c>
    </row>
    <row r="37" customFormat="false" ht="15" hidden="false" customHeight="true" outlineLevel="0" collapsed="false">
      <c r="B37" s="171" t="s">
        <v>875</v>
      </c>
      <c r="C37" s="172" t="s">
        <v>256</v>
      </c>
      <c r="D37" s="173" t="s">
        <v>864</v>
      </c>
      <c r="E37" s="178" t="n">
        <v>0.09</v>
      </c>
      <c r="F37" s="175" t="s">
        <v>456</v>
      </c>
      <c r="G37" s="172" t="s">
        <v>264</v>
      </c>
      <c r="H37" s="176" t="s">
        <v>876</v>
      </c>
    </row>
    <row r="38" customFormat="false" ht="15" hidden="false" customHeight="true" outlineLevel="0" collapsed="false">
      <c r="B38" s="165" t="s">
        <v>877</v>
      </c>
      <c r="C38" s="166" t="s">
        <v>878</v>
      </c>
      <c r="D38" s="167" t="s">
        <v>879</v>
      </c>
      <c r="E38" s="181" t="n">
        <v>12</v>
      </c>
      <c r="F38" s="169" t="s">
        <v>200</v>
      </c>
      <c r="G38" s="166" t="s">
        <v>880</v>
      </c>
      <c r="H38" s="170" t="s">
        <v>881</v>
      </c>
    </row>
    <row r="39" customFormat="false" ht="15" hidden="false" customHeight="true" outlineLevel="0" collapsed="false">
      <c r="B39" s="171" t="s">
        <v>882</v>
      </c>
      <c r="C39" s="172" t="s">
        <v>205</v>
      </c>
      <c r="D39" s="173" t="s">
        <v>879</v>
      </c>
      <c r="E39" s="174" t="n">
        <v>8</v>
      </c>
      <c r="F39" s="175" t="s">
        <v>200</v>
      </c>
      <c r="G39" s="172" t="s">
        <v>109</v>
      </c>
      <c r="H39" s="176" t="s">
        <v>883</v>
      </c>
    </row>
    <row r="40" customFormat="false" ht="15" hidden="false" customHeight="true" outlineLevel="0" collapsed="false">
      <c r="B40" s="165" t="s">
        <v>884</v>
      </c>
      <c r="C40" s="166" t="s">
        <v>885</v>
      </c>
      <c r="D40" s="167" t="s">
        <v>879</v>
      </c>
      <c r="E40" s="181" t="n">
        <v>220</v>
      </c>
      <c r="F40" s="169" t="s">
        <v>208</v>
      </c>
      <c r="G40" s="166" t="s">
        <v>886</v>
      </c>
      <c r="H40" s="170" t="s">
        <v>887</v>
      </c>
    </row>
    <row r="41" customFormat="false" ht="15" hidden="false" customHeight="true" outlineLevel="0" collapsed="false">
      <c r="B41" s="171" t="s">
        <v>621</v>
      </c>
      <c r="C41" s="172" t="s">
        <v>888</v>
      </c>
      <c r="D41" s="173" t="s">
        <v>879</v>
      </c>
      <c r="E41" s="180" t="n">
        <v>0.0035</v>
      </c>
      <c r="F41" s="175" t="s">
        <v>889</v>
      </c>
      <c r="G41" s="172" t="s">
        <v>890</v>
      </c>
      <c r="H41" s="176" t="s">
        <v>891</v>
      </c>
    </row>
    <row r="42" customFormat="false" ht="15" hidden="false" customHeight="true" outlineLevel="0" collapsed="false">
      <c r="B42" s="165" t="s">
        <v>892</v>
      </c>
      <c r="C42" s="166" t="s">
        <v>893</v>
      </c>
      <c r="D42" s="167" t="s">
        <v>894</v>
      </c>
      <c r="E42" s="181" t="n">
        <v>35</v>
      </c>
      <c r="F42" s="169" t="s">
        <v>895</v>
      </c>
      <c r="G42" s="166" t="s">
        <v>896</v>
      </c>
      <c r="H42" s="170" t="s">
        <v>897</v>
      </c>
    </row>
    <row r="43" customFormat="false" ht="15" hidden="false" customHeight="true" outlineLevel="0" collapsed="false">
      <c r="B43" s="171" t="s">
        <v>898</v>
      </c>
      <c r="C43" s="172" t="s">
        <v>899</v>
      </c>
      <c r="D43" s="173" t="s">
        <v>900</v>
      </c>
      <c r="E43" s="182" t="n">
        <v>10589.2</v>
      </c>
      <c r="F43" s="175" t="s">
        <v>901</v>
      </c>
      <c r="G43" s="172" t="s">
        <v>902</v>
      </c>
      <c r="H43" s="176" t="s">
        <v>903</v>
      </c>
    </row>
    <row r="44" customFormat="false" ht="15" hidden="false" customHeight="true" outlineLevel="0" collapsed="false">
      <c r="B44" s="165" t="s">
        <v>904</v>
      </c>
      <c r="C44" s="166" t="s">
        <v>905</v>
      </c>
      <c r="D44" s="167" t="s">
        <v>900</v>
      </c>
      <c r="E44" s="168" t="n">
        <v>4221.96</v>
      </c>
      <c r="F44" s="169" t="s">
        <v>901</v>
      </c>
      <c r="G44" s="166" t="s">
        <v>91</v>
      </c>
      <c r="H44" s="170" t="s">
        <v>906</v>
      </c>
    </row>
  </sheetData>
  <mergeCells count="2">
    <mergeCell ref="B2:H2"/>
    <mergeCell ref="B3:H3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5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2"/>
    <col collapsed="false" customWidth="true" hidden="false" outlineLevel="0" max="2" min="2" style="0" width="38"/>
    <col collapsed="false" customWidth="true" hidden="false" outlineLevel="0" max="3" min="3" style="0" width="14"/>
    <col collapsed="false" customWidth="true" hidden="false" outlineLevel="0" max="14" min="4" style="0" width="13"/>
  </cols>
  <sheetData>
    <row r="2" customFormat="false" ht="24.45" hidden="false" customHeight="false" outlineLevel="0" collapsed="false">
      <c r="B2" s="183" t="s">
        <v>907</v>
      </c>
      <c r="C2" s="183"/>
      <c r="D2" s="183"/>
      <c r="E2" s="183"/>
      <c r="F2" s="183"/>
      <c r="G2" s="183"/>
      <c r="H2" s="183"/>
      <c r="I2" s="183"/>
      <c r="J2" s="183"/>
      <c r="K2" s="183"/>
      <c r="L2" s="183"/>
      <c r="M2" s="183"/>
      <c r="N2" s="183"/>
    </row>
    <row r="3" customFormat="false" ht="15" hidden="false" customHeight="false" outlineLevel="0" collapsed="false">
      <c r="B3" s="184" t="s">
        <v>908</v>
      </c>
      <c r="C3" s="184"/>
      <c r="D3" s="184"/>
      <c r="E3" s="184"/>
      <c r="F3" s="184"/>
      <c r="G3" s="184"/>
      <c r="H3" s="184"/>
      <c r="I3" s="184"/>
      <c r="J3" s="184"/>
      <c r="K3" s="184"/>
      <c r="L3" s="184"/>
      <c r="M3" s="184"/>
      <c r="N3" s="184"/>
    </row>
    <row r="5" customFormat="false" ht="21.75" hidden="false" customHeight="true" outlineLevel="0" collapsed="false">
      <c r="B5" s="185" t="s">
        <v>909</v>
      </c>
      <c r="C5" s="185"/>
      <c r="D5" s="185"/>
      <c r="E5" s="185"/>
      <c r="F5" s="185"/>
      <c r="G5" s="185"/>
      <c r="H5" s="185"/>
      <c r="I5" s="185"/>
      <c r="J5" s="185"/>
      <c r="K5" s="185"/>
      <c r="L5" s="185"/>
      <c r="M5" s="185"/>
      <c r="N5" s="185"/>
    </row>
    <row r="6" customFormat="false" ht="31.5" hidden="false" customHeight="true" outlineLevel="0" collapsed="false">
      <c r="B6" s="72" t="s">
        <v>542</v>
      </c>
      <c r="C6" s="72" t="s">
        <v>910</v>
      </c>
      <c r="D6" s="72" t="s">
        <v>911</v>
      </c>
      <c r="E6" s="72" t="s">
        <v>912</v>
      </c>
      <c r="F6" s="72" t="s">
        <v>913</v>
      </c>
      <c r="G6" s="72" t="s">
        <v>914</v>
      </c>
      <c r="H6" s="72" t="s">
        <v>915</v>
      </c>
      <c r="I6" s="72" t="s">
        <v>742</v>
      </c>
      <c r="J6" s="72" t="s">
        <v>916</v>
      </c>
    </row>
    <row r="7" customFormat="false" ht="15" hidden="false" customHeight="false" outlineLevel="0" collapsed="false">
      <c r="B7" s="35" t="s">
        <v>917</v>
      </c>
      <c r="C7" s="186" t="s">
        <v>918</v>
      </c>
      <c r="D7" s="187" t="n">
        <v>5.56</v>
      </c>
      <c r="E7" s="43" t="n">
        <v>5.28</v>
      </c>
      <c r="F7" s="43" t="n">
        <v>5.84</v>
      </c>
      <c r="G7" s="188" t="n">
        <v>0.14</v>
      </c>
      <c r="H7" s="189" t="s">
        <v>919</v>
      </c>
      <c r="I7" s="190" t="s">
        <v>920</v>
      </c>
      <c r="J7" s="191" t="s">
        <v>746</v>
      </c>
    </row>
    <row r="8" customFormat="false" ht="15" hidden="false" customHeight="false" outlineLevel="0" collapsed="false">
      <c r="B8" s="35" t="s">
        <v>921</v>
      </c>
      <c r="C8" s="186" t="s">
        <v>918</v>
      </c>
      <c r="D8" s="187" t="n">
        <v>0.312</v>
      </c>
      <c r="E8" s="43" t="n">
        <v>0.289</v>
      </c>
      <c r="F8" s="43" t="n">
        <v>0.335</v>
      </c>
      <c r="G8" s="188" t="n">
        <v>0.012</v>
      </c>
      <c r="H8" s="189" t="s">
        <v>919</v>
      </c>
      <c r="I8" s="190" t="s">
        <v>922</v>
      </c>
      <c r="J8" s="191" t="s">
        <v>923</v>
      </c>
    </row>
    <row r="9" customFormat="false" ht="15" hidden="false" customHeight="false" outlineLevel="0" collapsed="false">
      <c r="B9" s="35" t="s">
        <v>924</v>
      </c>
      <c r="C9" s="186" t="s">
        <v>925</v>
      </c>
      <c r="D9" s="187" t="n">
        <v>72</v>
      </c>
      <c r="E9" s="43" t="n">
        <v>62</v>
      </c>
      <c r="F9" s="43" t="n">
        <v>85</v>
      </c>
      <c r="G9" s="188" t="n">
        <v>6.5</v>
      </c>
      <c r="H9" s="189" t="s">
        <v>926</v>
      </c>
      <c r="I9" s="190" t="s">
        <v>927</v>
      </c>
      <c r="J9" s="191" t="s">
        <v>928</v>
      </c>
    </row>
    <row r="10" customFormat="false" ht="15" hidden="false" customHeight="false" outlineLevel="0" collapsed="false">
      <c r="B10" s="35" t="s">
        <v>929</v>
      </c>
      <c r="C10" s="186" t="s">
        <v>930</v>
      </c>
      <c r="D10" s="187" t="n">
        <v>38</v>
      </c>
      <c r="E10" s="43" t="n">
        <v>30</v>
      </c>
      <c r="F10" s="43" t="n">
        <v>48</v>
      </c>
      <c r="G10" s="188" t="n">
        <v>4.5</v>
      </c>
      <c r="H10" s="189" t="s">
        <v>926</v>
      </c>
      <c r="I10" s="190" t="s">
        <v>931</v>
      </c>
      <c r="J10" s="191" t="s">
        <v>932</v>
      </c>
    </row>
    <row r="11" customFormat="false" ht="15" hidden="false" customHeight="false" outlineLevel="0" collapsed="false">
      <c r="B11" s="35" t="s">
        <v>933</v>
      </c>
      <c r="C11" s="186" t="s">
        <v>930</v>
      </c>
      <c r="D11" s="187" t="n">
        <v>4551</v>
      </c>
      <c r="E11" s="43" t="n">
        <v>4100</v>
      </c>
      <c r="F11" s="43" t="n">
        <v>5240</v>
      </c>
      <c r="G11" s="188" t="n">
        <v>280</v>
      </c>
      <c r="H11" s="189" t="s">
        <v>926</v>
      </c>
      <c r="I11" s="190" t="s">
        <v>934</v>
      </c>
      <c r="J11" s="191" t="s">
        <v>935</v>
      </c>
    </row>
    <row r="12" customFormat="false" ht="15" hidden="false" customHeight="false" outlineLevel="0" collapsed="false">
      <c r="B12" s="35" t="s">
        <v>936</v>
      </c>
      <c r="C12" s="186" t="s">
        <v>930</v>
      </c>
      <c r="D12" s="187" t="n">
        <v>0</v>
      </c>
      <c r="E12" s="43" t="n">
        <v>-3</v>
      </c>
      <c r="F12" s="43" t="n">
        <v>9</v>
      </c>
      <c r="G12" s="188" t="n">
        <v>2.5</v>
      </c>
      <c r="H12" s="189" t="s">
        <v>937</v>
      </c>
      <c r="I12" s="190" t="s">
        <v>938</v>
      </c>
      <c r="J12" s="191" t="s">
        <v>939</v>
      </c>
    </row>
    <row r="13" customFormat="false" ht="15" hidden="false" customHeight="false" outlineLevel="0" collapsed="false">
      <c r="B13" s="35" t="s">
        <v>940</v>
      </c>
      <c r="C13" s="186" t="s">
        <v>925</v>
      </c>
      <c r="D13" s="187" t="n">
        <v>5.1</v>
      </c>
      <c r="E13" s="43" t="n">
        <v>4.5</v>
      </c>
      <c r="F13" s="43" t="n">
        <v>5.7</v>
      </c>
      <c r="G13" s="188" t="n">
        <v>0.25</v>
      </c>
      <c r="H13" s="189" t="s">
        <v>926</v>
      </c>
      <c r="I13" s="190" t="s">
        <v>941</v>
      </c>
      <c r="J13" s="191" t="s">
        <v>942</v>
      </c>
    </row>
    <row r="14" customFormat="false" ht="15" hidden="false" customHeight="false" outlineLevel="0" collapsed="false">
      <c r="B14" s="35" t="s">
        <v>943</v>
      </c>
      <c r="C14" s="186" t="s">
        <v>918</v>
      </c>
      <c r="D14" s="187" t="n">
        <v>0.105</v>
      </c>
      <c r="E14" s="43" t="n">
        <v>0.085</v>
      </c>
      <c r="F14" s="43" t="n">
        <v>0.125</v>
      </c>
      <c r="G14" s="188" t="n">
        <v>0.008</v>
      </c>
      <c r="H14" s="189" t="s">
        <v>919</v>
      </c>
      <c r="I14" s="190" t="s">
        <v>944</v>
      </c>
      <c r="J14" s="191" t="s">
        <v>945</v>
      </c>
    </row>
    <row r="17" customFormat="false" ht="21.75" hidden="false" customHeight="true" outlineLevel="0" collapsed="false">
      <c r="B17" s="185" t="s">
        <v>946</v>
      </c>
      <c r="C17" s="185"/>
      <c r="D17" s="185"/>
      <c r="E17" s="185"/>
      <c r="F17" s="185"/>
      <c r="G17" s="185"/>
      <c r="H17" s="185"/>
      <c r="I17" s="185"/>
      <c r="J17" s="185"/>
      <c r="K17" s="185"/>
      <c r="L17" s="185"/>
      <c r="M17" s="185"/>
      <c r="N17" s="185"/>
    </row>
    <row r="18" customFormat="false" ht="15" hidden="false" customHeight="false" outlineLevel="0" collapsed="false">
      <c r="B18" s="57" t="s">
        <v>947</v>
      </c>
      <c r="C18" s="57" t="s">
        <v>948</v>
      </c>
      <c r="D18" s="57" t="s">
        <v>949</v>
      </c>
      <c r="E18" s="57" t="s">
        <v>950</v>
      </c>
      <c r="F18" s="57" t="s">
        <v>951</v>
      </c>
      <c r="G18" s="57" t="s">
        <v>952</v>
      </c>
      <c r="H18" s="57" t="s">
        <v>953</v>
      </c>
      <c r="I18" s="57" t="s">
        <v>954</v>
      </c>
      <c r="J18" s="57" t="s">
        <v>955</v>
      </c>
      <c r="K18" s="57" t="s">
        <v>956</v>
      </c>
    </row>
    <row r="19" customFormat="false" ht="15" hidden="false" customHeight="false" outlineLevel="0" collapsed="false">
      <c r="B19" s="35" t="s">
        <v>957</v>
      </c>
      <c r="C19" s="114" t="n">
        <v>0.118</v>
      </c>
      <c r="D19" s="114" t="n">
        <v>0.139</v>
      </c>
      <c r="E19" s="114" t="n">
        <v>0.172</v>
      </c>
      <c r="F19" s="192" t="n">
        <v>0.202</v>
      </c>
      <c r="G19" s="114" t="n">
        <v>0.234</v>
      </c>
      <c r="H19" s="114" t="n">
        <v>0.265</v>
      </c>
      <c r="I19" s="114" t="n">
        <v>0.288</v>
      </c>
      <c r="J19" s="114" t="n">
        <v>0.203</v>
      </c>
      <c r="K19" s="114" t="n">
        <v>0.052</v>
      </c>
    </row>
    <row r="20" customFormat="false" ht="15" hidden="false" customHeight="false" outlineLevel="0" collapsed="false">
      <c r="B20" s="35" t="s">
        <v>958</v>
      </c>
      <c r="C20" s="114" t="n">
        <v>0.165</v>
      </c>
      <c r="D20" s="114" t="n">
        <v>0.197</v>
      </c>
      <c r="E20" s="114" t="n">
        <v>0.248</v>
      </c>
      <c r="F20" s="192" t="n">
        <v>0.298</v>
      </c>
      <c r="G20" s="114" t="n">
        <v>0.349</v>
      </c>
      <c r="H20" s="114" t="n">
        <v>0.401</v>
      </c>
      <c r="I20" s="114" t="n">
        <v>0.434</v>
      </c>
      <c r="J20" s="114" t="n">
        <v>0.299</v>
      </c>
      <c r="K20" s="114" t="n">
        <v>0.082</v>
      </c>
    </row>
    <row r="21" customFormat="false" ht="15" hidden="false" customHeight="false" outlineLevel="0" collapsed="false">
      <c r="B21" s="35" t="s">
        <v>959</v>
      </c>
      <c r="C21" s="71" t="n">
        <v>1850</v>
      </c>
      <c r="D21" s="71" t="n">
        <v>2540</v>
      </c>
      <c r="E21" s="71" t="n">
        <v>4120</v>
      </c>
      <c r="F21" s="193" t="n">
        <v>5870</v>
      </c>
      <c r="G21" s="71" t="n">
        <v>7720</v>
      </c>
      <c r="H21" s="71" t="n">
        <v>9580</v>
      </c>
      <c r="I21" s="71" t="n">
        <v>10800</v>
      </c>
      <c r="J21" s="71" t="n">
        <v>5890</v>
      </c>
      <c r="K21" s="71" t="n">
        <v>2160</v>
      </c>
    </row>
    <row r="22" customFormat="false" ht="15" hidden="false" customHeight="false" outlineLevel="0" collapsed="false">
      <c r="B22" s="35" t="s">
        <v>960</v>
      </c>
      <c r="C22" s="194" t="n">
        <v>82</v>
      </c>
      <c r="D22" s="194" t="n">
        <v>96</v>
      </c>
      <c r="E22" s="194" t="n">
        <v>108</v>
      </c>
      <c r="F22" s="195" t="n">
        <v>118</v>
      </c>
      <c r="G22" s="194" t="n">
        <v>128</v>
      </c>
      <c r="H22" s="194" t="n">
        <v>142</v>
      </c>
      <c r="I22" s="194" t="n">
        <v>154</v>
      </c>
      <c r="J22" s="194" t="n">
        <v>119</v>
      </c>
      <c r="K22" s="194" t="n">
        <v>18.5</v>
      </c>
    </row>
    <row r="23" customFormat="false" ht="15" hidden="false" customHeight="false" outlineLevel="0" collapsed="false">
      <c r="B23" s="35" t="s">
        <v>961</v>
      </c>
      <c r="C23" s="196" t="n">
        <v>1.18</v>
      </c>
      <c r="D23" s="196" t="n">
        <v>1.32</v>
      </c>
      <c r="E23" s="196" t="n">
        <v>1.51</v>
      </c>
      <c r="F23" s="197" t="n">
        <v>1.68</v>
      </c>
      <c r="G23" s="196" t="n">
        <v>1.85</v>
      </c>
      <c r="H23" s="196" t="n">
        <v>2.02</v>
      </c>
      <c r="I23" s="196" t="n">
        <v>2.18</v>
      </c>
      <c r="J23" s="196" t="n">
        <v>1.69</v>
      </c>
      <c r="K23" s="196" t="n">
        <v>0.25</v>
      </c>
    </row>
    <row r="24" customFormat="false" ht="15" hidden="false" customHeight="false" outlineLevel="0" collapsed="false">
      <c r="B24" s="35" t="s">
        <v>962</v>
      </c>
      <c r="C24" s="198" t="n">
        <v>3.8</v>
      </c>
      <c r="D24" s="198" t="n">
        <v>4.2</v>
      </c>
      <c r="E24" s="198" t="n">
        <v>5.1</v>
      </c>
      <c r="F24" s="199" t="n">
        <v>5.8</v>
      </c>
      <c r="G24" s="198" t="n">
        <v>6.7</v>
      </c>
      <c r="H24" s="198" t="n">
        <v>7.9</v>
      </c>
      <c r="I24" s="198" t="n">
        <v>8.6</v>
      </c>
      <c r="J24" s="198" t="n">
        <v>5.9</v>
      </c>
      <c r="K24" s="198" t="n">
        <v>1.2</v>
      </c>
    </row>
    <row r="27" customFormat="false" ht="21.75" hidden="false" customHeight="true" outlineLevel="0" collapsed="false">
      <c r="B27" s="185" t="s">
        <v>963</v>
      </c>
      <c r="C27" s="185"/>
      <c r="D27" s="185"/>
      <c r="E27" s="185"/>
      <c r="F27" s="185"/>
      <c r="G27" s="185"/>
      <c r="H27" s="185"/>
      <c r="I27" s="185"/>
      <c r="J27" s="185"/>
      <c r="K27" s="185"/>
      <c r="L27" s="185"/>
      <c r="M27" s="185"/>
      <c r="N27" s="185"/>
    </row>
    <row r="28" customFormat="false" ht="15" hidden="false" customHeight="false" outlineLevel="0" collapsed="false">
      <c r="B28" s="200" t="s">
        <v>542</v>
      </c>
      <c r="C28" s="57" t="s">
        <v>964</v>
      </c>
      <c r="D28" s="57" t="s">
        <v>965</v>
      </c>
      <c r="E28" s="57" t="s">
        <v>966</v>
      </c>
    </row>
    <row r="29" customFormat="false" ht="15" hidden="false" customHeight="false" outlineLevel="0" collapsed="false">
      <c r="B29" s="62" t="s">
        <v>967</v>
      </c>
      <c r="C29" s="201" t="n">
        <v>0.235</v>
      </c>
      <c r="D29" s="202" t="n">
        <v>0.358</v>
      </c>
      <c r="E29" s="203" t="n">
        <v>0.123</v>
      </c>
    </row>
    <row r="30" customFormat="false" ht="15" hidden="false" customHeight="false" outlineLevel="0" collapsed="false">
      <c r="B30" s="62" t="s">
        <v>7</v>
      </c>
      <c r="C30" s="201" t="n">
        <v>0.345</v>
      </c>
      <c r="D30" s="202" t="n">
        <v>0.255</v>
      </c>
      <c r="E30" s="203" t="n">
        <v>0.09</v>
      </c>
    </row>
    <row r="31" customFormat="false" ht="15" hidden="false" customHeight="false" outlineLevel="0" collapsed="false">
      <c r="B31" s="62" t="s">
        <v>968</v>
      </c>
      <c r="C31" s="201" t="n">
        <v>0.255</v>
      </c>
      <c r="D31" s="202" t="n">
        <v>0.345</v>
      </c>
      <c r="E31" s="203" t="n">
        <v>0.09</v>
      </c>
    </row>
    <row r="32" customFormat="false" ht="15" hidden="false" customHeight="false" outlineLevel="0" collapsed="false">
      <c r="B32" s="62" t="s">
        <v>552</v>
      </c>
      <c r="C32" s="201" t="n">
        <v>0.275</v>
      </c>
      <c r="D32" s="202" t="n">
        <v>0.318</v>
      </c>
      <c r="E32" s="203" t="n">
        <v>0.043</v>
      </c>
    </row>
    <row r="33" customFormat="false" ht="15" hidden="false" customHeight="false" outlineLevel="0" collapsed="false">
      <c r="B33" s="62" t="s">
        <v>555</v>
      </c>
      <c r="C33" s="201" t="n">
        <v>0.275</v>
      </c>
      <c r="D33" s="202" t="n">
        <v>0.31</v>
      </c>
      <c r="E33" s="203" t="n">
        <v>0.035</v>
      </c>
    </row>
    <row r="34" customFormat="false" ht="15" hidden="false" customHeight="false" outlineLevel="0" collapsed="false">
      <c r="B34" s="62" t="s">
        <v>969</v>
      </c>
      <c r="C34" s="201" t="n">
        <v>0.282</v>
      </c>
      <c r="D34" s="202" t="n">
        <v>0.314</v>
      </c>
      <c r="E34" s="203" t="n">
        <v>0.032</v>
      </c>
    </row>
    <row r="35" customFormat="false" ht="15" hidden="false" customHeight="false" outlineLevel="0" collapsed="false">
      <c r="B35" s="62" t="s">
        <v>970</v>
      </c>
      <c r="C35" s="201" t="n">
        <v>0.29</v>
      </c>
      <c r="D35" s="202" t="n">
        <v>0.31</v>
      </c>
      <c r="E35" s="203" t="n">
        <v>0.02</v>
      </c>
    </row>
    <row r="36" customFormat="false" ht="15" hidden="false" customHeight="false" outlineLevel="0" collapsed="false">
      <c r="B36" s="62" t="s">
        <v>971</v>
      </c>
      <c r="C36" s="201" t="n">
        <v>0.275</v>
      </c>
      <c r="D36" s="202" t="n">
        <v>0.302</v>
      </c>
      <c r="E36" s="203" t="n">
        <v>0.027</v>
      </c>
    </row>
    <row r="39" customFormat="false" ht="21.75" hidden="false" customHeight="true" outlineLevel="0" collapsed="false">
      <c r="B39" s="204" t="s">
        <v>972</v>
      </c>
      <c r="C39" s="204"/>
      <c r="D39" s="204"/>
      <c r="E39" s="204"/>
      <c r="F39" s="204"/>
      <c r="G39" s="204"/>
      <c r="H39" s="204"/>
      <c r="I39" s="204"/>
      <c r="J39" s="204"/>
      <c r="K39" s="204"/>
      <c r="L39" s="204"/>
      <c r="M39" s="204"/>
      <c r="N39" s="204"/>
    </row>
    <row r="41" customFormat="false" ht="24" hidden="false" customHeight="true" outlineLevel="0" collapsed="false">
      <c r="B41" s="108" t="s">
        <v>973</v>
      </c>
      <c r="C41" s="108"/>
      <c r="D41" s="108"/>
      <c r="E41" s="108"/>
      <c r="F41" s="108"/>
      <c r="G41" s="108"/>
      <c r="H41" s="108"/>
      <c r="I41" s="108"/>
      <c r="J41" s="108"/>
      <c r="K41" s="108"/>
      <c r="L41" s="108"/>
      <c r="M41" s="108"/>
      <c r="N41" s="108"/>
    </row>
    <row r="42" customFormat="false" ht="24" hidden="false" customHeight="true" outlineLevel="0" collapsed="false">
      <c r="B42" s="108" t="s">
        <v>974</v>
      </c>
      <c r="C42" s="108"/>
      <c r="D42" s="108"/>
      <c r="E42" s="108"/>
      <c r="F42" s="108"/>
      <c r="G42" s="108"/>
      <c r="H42" s="108"/>
      <c r="I42" s="108"/>
      <c r="J42" s="108"/>
      <c r="K42" s="108"/>
      <c r="L42" s="108"/>
      <c r="M42" s="108"/>
      <c r="N42" s="108"/>
    </row>
    <row r="43" customFormat="false" ht="24" hidden="false" customHeight="true" outlineLevel="0" collapsed="false">
      <c r="B43" s="108" t="s">
        <v>975</v>
      </c>
      <c r="C43" s="108"/>
      <c r="D43" s="108"/>
      <c r="E43" s="108"/>
      <c r="F43" s="108"/>
      <c r="G43" s="108"/>
      <c r="H43" s="108"/>
      <c r="I43" s="108"/>
      <c r="J43" s="108"/>
      <c r="K43" s="108"/>
      <c r="L43" s="108"/>
      <c r="M43" s="108"/>
      <c r="N43" s="108"/>
    </row>
    <row r="44" customFormat="false" ht="24" hidden="false" customHeight="true" outlineLevel="0" collapsed="false">
      <c r="B44" s="108" t="s">
        <v>976</v>
      </c>
      <c r="C44" s="108"/>
      <c r="D44" s="108"/>
      <c r="E44" s="108"/>
      <c r="F44" s="108"/>
      <c r="G44" s="108"/>
      <c r="H44" s="108"/>
      <c r="I44" s="108"/>
      <c r="J44" s="108"/>
      <c r="K44" s="108"/>
      <c r="L44" s="108"/>
      <c r="M44" s="108"/>
      <c r="N44" s="108"/>
    </row>
    <row r="45" customFormat="false" ht="24" hidden="false" customHeight="true" outlineLevel="0" collapsed="false">
      <c r="B45" s="108" t="s">
        <v>977</v>
      </c>
      <c r="C45" s="108"/>
      <c r="D45" s="108"/>
      <c r="E45" s="108"/>
      <c r="F45" s="108"/>
      <c r="G45" s="108"/>
      <c r="H45" s="108"/>
      <c r="I45" s="108"/>
      <c r="J45" s="108"/>
      <c r="K45" s="108"/>
      <c r="L45" s="108"/>
      <c r="M45" s="108"/>
      <c r="N45" s="108"/>
    </row>
  </sheetData>
  <mergeCells count="11">
    <mergeCell ref="B2:N2"/>
    <mergeCell ref="B3:N3"/>
    <mergeCell ref="B5:N5"/>
    <mergeCell ref="B17:N17"/>
    <mergeCell ref="B27:N27"/>
    <mergeCell ref="B39:N39"/>
    <mergeCell ref="B41:N41"/>
    <mergeCell ref="B42:N42"/>
    <mergeCell ref="B43:N43"/>
    <mergeCell ref="B44:N44"/>
    <mergeCell ref="B45:N45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2026-05-10T23:40:53Z</dcterms:created>
  <dc:creator>openpyxl</dc:creator>
  <dc:description/>
  <dc:language>en-US</dc:language>
  <cp:lastModifiedBy/>
  <dcterms:modified xsi:type="dcterms:W3CDTF">2026-05-12T16:52:44Z</dcterms:modified>
  <cp:revision>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